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gnyte\Shared\EAPN\11. FINANCES\Budgets\2022\Core\"/>
    </mc:Choice>
  </mc:AlternateContent>
  <xr:revisionPtr revIDLastSave="0" documentId="13_ncr:1_{519BB61C-BD34-45AB-8C2F-915ED8028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view" sheetId="1" r:id="rId1"/>
    <sheet name="Detail expenses" sheetId="5" r:id="rId2"/>
    <sheet name="Total SGA" sheetId="6" r:id="rId3"/>
    <sheet name="Budget detail SGA" sheetId="7" r:id="rId4"/>
  </sheets>
  <definedNames>
    <definedName name="_xlnm.Print_Area" localSheetId="1">'Detail expenses'!$A$1:$G$106</definedName>
    <definedName name="_xlnm.Print_Area" localSheetId="0">Overview!$A$1:$O$9</definedName>
    <definedName name="_xlnm.Print_Area" localSheetId="2">'Total SGA'!$A$1:$O$40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5" l="1"/>
  <c r="C76" i="5"/>
  <c r="C94" i="5"/>
  <c r="C61" i="5"/>
  <c r="C102" i="5" l="1"/>
  <c r="C104" i="5"/>
  <c r="K9" i="1" s="1"/>
  <c r="C65" i="5"/>
  <c r="C34" i="5"/>
  <c r="D9" i="1" s="1"/>
  <c r="F50" i="5"/>
  <c r="F38" i="5"/>
  <c r="F41" i="5"/>
  <c r="F43" i="5"/>
  <c r="F46" i="5"/>
  <c r="F48" i="5"/>
  <c r="F52" i="5"/>
  <c r="F18" i="5"/>
  <c r="C9" i="1" s="1"/>
  <c r="C54" i="5"/>
  <c r="G9" i="1" s="1"/>
  <c r="E54" i="5"/>
  <c r="I9" i="1" s="1"/>
  <c r="D54" i="5"/>
  <c r="H9" i="1" s="1"/>
  <c r="B54" i="5"/>
  <c r="F9" i="1" s="1"/>
  <c r="C37" i="5"/>
  <c r="C53" i="5" s="1"/>
  <c r="G4" i="1" s="1"/>
  <c r="D53" i="5"/>
  <c r="H4" i="1" s="1"/>
  <c r="E53" i="5"/>
  <c r="I4" i="1" s="1"/>
  <c r="F39" i="5"/>
  <c r="F40" i="5"/>
  <c r="F42" i="5"/>
  <c r="F44" i="5"/>
  <c r="F45" i="5"/>
  <c r="F47" i="5"/>
  <c r="F49" i="5"/>
  <c r="F51" i="5"/>
  <c r="B53" i="5"/>
  <c r="B34" i="5"/>
  <c r="D4" i="1" s="1"/>
  <c r="E18" i="5"/>
  <c r="B65" i="5"/>
  <c r="J4" i="1" s="1"/>
  <c r="B104" i="5"/>
  <c r="K4" i="1" s="1"/>
  <c r="B200" i="7"/>
  <c r="B201" i="7"/>
  <c r="B202" i="7"/>
  <c r="B203" i="7"/>
  <c r="B204" i="7"/>
  <c r="B205" i="7"/>
  <c r="B206" i="7"/>
  <c r="B207" i="7"/>
  <c r="B208" i="7"/>
  <c r="B209" i="7"/>
  <c r="B210" i="7"/>
  <c r="B220" i="7"/>
  <c r="C223" i="7"/>
  <c r="D223" i="7"/>
  <c r="E223" i="7"/>
  <c r="B226" i="7"/>
  <c r="B227" i="7"/>
  <c r="B228" i="7"/>
  <c r="B229" i="7"/>
  <c r="B230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8" i="7"/>
  <c r="B29" i="7"/>
  <c r="B30" i="7"/>
  <c r="B31" i="7"/>
  <c r="B32" i="7"/>
  <c r="B165" i="7"/>
  <c r="B108" i="7"/>
  <c r="B109" i="7"/>
  <c r="B110" i="7"/>
  <c r="B111" i="7"/>
  <c r="B112" i="7"/>
  <c r="B113" i="7"/>
  <c r="B114" i="7"/>
  <c r="B115" i="7"/>
  <c r="B116" i="7"/>
  <c r="B117" i="7"/>
  <c r="B118" i="7"/>
  <c r="C15" i="6"/>
  <c r="B121" i="7"/>
  <c r="D15" i="6"/>
  <c r="C124" i="7"/>
  <c r="G15" i="6"/>
  <c r="D124" i="7"/>
  <c r="H15" i="6"/>
  <c r="E124" i="7"/>
  <c r="I15" i="6"/>
  <c r="B126" i="7"/>
  <c r="B127" i="7"/>
  <c r="B128" i="7"/>
  <c r="B129" i="7"/>
  <c r="B130" i="7"/>
  <c r="J15" i="6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K15" i="6"/>
  <c r="O15" i="6"/>
  <c r="C4" i="7"/>
  <c r="C5" i="7"/>
  <c r="C6" i="7"/>
  <c r="C7" i="7"/>
  <c r="C8" i="7"/>
  <c r="C9" i="7"/>
  <c r="C10" i="7"/>
  <c r="C11" i="7"/>
  <c r="C12" i="7"/>
  <c r="C13" i="7"/>
  <c r="C14" i="7"/>
  <c r="B5" i="6"/>
  <c r="C63" i="7"/>
  <c r="C64" i="7"/>
  <c r="C65" i="7"/>
  <c r="C66" i="7"/>
  <c r="C67" i="7"/>
  <c r="C68" i="7"/>
  <c r="C69" i="7"/>
  <c r="C70" i="7"/>
  <c r="C71" i="7"/>
  <c r="C72" i="7"/>
  <c r="C73" i="7"/>
  <c r="B10" i="6"/>
  <c r="C108" i="7"/>
  <c r="C109" i="7"/>
  <c r="C110" i="7"/>
  <c r="C111" i="7"/>
  <c r="C112" i="7"/>
  <c r="C113" i="7"/>
  <c r="C114" i="7"/>
  <c r="C115" i="7"/>
  <c r="C116" i="7"/>
  <c r="C117" i="7"/>
  <c r="C118" i="7"/>
  <c r="B15" i="6"/>
  <c r="C151" i="7"/>
  <c r="C152" i="7"/>
  <c r="C153" i="7"/>
  <c r="C154" i="7"/>
  <c r="C155" i="7"/>
  <c r="C156" i="7"/>
  <c r="C157" i="7"/>
  <c r="C158" i="7"/>
  <c r="C159" i="7"/>
  <c r="C160" i="7"/>
  <c r="C161" i="7"/>
  <c r="B20" i="6"/>
  <c r="C200" i="7"/>
  <c r="C201" i="7"/>
  <c r="C202" i="7"/>
  <c r="C203" i="7"/>
  <c r="C204" i="7"/>
  <c r="C205" i="7"/>
  <c r="C206" i="7"/>
  <c r="C207" i="7"/>
  <c r="C208" i="7"/>
  <c r="C209" i="7"/>
  <c r="C210" i="7"/>
  <c r="B25" i="6"/>
  <c r="C253" i="7"/>
  <c r="C254" i="7"/>
  <c r="C255" i="7"/>
  <c r="C256" i="7"/>
  <c r="C257" i="7"/>
  <c r="C258" i="7"/>
  <c r="C259" i="7"/>
  <c r="C260" i="7"/>
  <c r="C261" i="7"/>
  <c r="C262" i="7"/>
  <c r="C263" i="7"/>
  <c r="B30" i="6"/>
  <c r="C298" i="7"/>
  <c r="C299" i="7"/>
  <c r="C300" i="7"/>
  <c r="C301" i="7"/>
  <c r="C302" i="7"/>
  <c r="C303" i="7"/>
  <c r="C304" i="7"/>
  <c r="C305" i="7"/>
  <c r="C306" i="7"/>
  <c r="C307" i="7"/>
  <c r="C308" i="7"/>
  <c r="B35" i="6"/>
  <c r="B40" i="6"/>
  <c r="C353" i="7"/>
  <c r="C354" i="7"/>
  <c r="D18" i="5"/>
  <c r="B4" i="7"/>
  <c r="B63" i="7"/>
  <c r="B151" i="7"/>
  <c r="B253" i="7"/>
  <c r="B298" i="7"/>
  <c r="B349" i="7"/>
  <c r="B5" i="7"/>
  <c r="B64" i="7"/>
  <c r="B152" i="7"/>
  <c r="B254" i="7"/>
  <c r="B299" i="7"/>
  <c r="B350" i="7"/>
  <c r="B6" i="7"/>
  <c r="B65" i="7"/>
  <c r="B153" i="7"/>
  <c r="B255" i="7"/>
  <c r="B300" i="7"/>
  <c r="B351" i="7"/>
  <c r="B7" i="7"/>
  <c r="B66" i="7"/>
  <c r="B154" i="7"/>
  <c r="B256" i="7"/>
  <c r="B301" i="7"/>
  <c r="B352" i="7"/>
  <c r="B8" i="7"/>
  <c r="B67" i="7"/>
  <c r="B155" i="7"/>
  <c r="B257" i="7"/>
  <c r="B302" i="7"/>
  <c r="B353" i="7"/>
  <c r="B9" i="7"/>
  <c r="B68" i="7"/>
  <c r="B156" i="7"/>
  <c r="B258" i="7"/>
  <c r="B303" i="7"/>
  <c r="B354" i="7"/>
  <c r="B10" i="7"/>
  <c r="B69" i="7"/>
  <c r="B157" i="7"/>
  <c r="B259" i="7"/>
  <c r="B304" i="7"/>
  <c r="B355" i="7"/>
  <c r="B11" i="7"/>
  <c r="B70" i="7"/>
  <c r="B158" i="7"/>
  <c r="B260" i="7"/>
  <c r="B305" i="7"/>
  <c r="B356" i="7"/>
  <c r="B12" i="7"/>
  <c r="B71" i="7"/>
  <c r="B159" i="7"/>
  <c r="B261" i="7"/>
  <c r="B306" i="7"/>
  <c r="B357" i="7"/>
  <c r="B13" i="7"/>
  <c r="B72" i="7"/>
  <c r="B160" i="7"/>
  <c r="B262" i="7"/>
  <c r="B307" i="7"/>
  <c r="B358" i="7"/>
  <c r="B359" i="7"/>
  <c r="C351" i="7"/>
  <c r="C358" i="7"/>
  <c r="C355" i="7"/>
  <c r="C352" i="7"/>
  <c r="C350" i="7"/>
  <c r="C357" i="7"/>
  <c r="C356" i="7"/>
  <c r="C349" i="7"/>
  <c r="C359" i="7"/>
  <c r="C79" i="7"/>
  <c r="G10" i="6"/>
  <c r="D79" i="7"/>
  <c r="H10" i="6"/>
  <c r="E79" i="7"/>
  <c r="I10" i="6"/>
  <c r="B79" i="7"/>
  <c r="F10" i="6"/>
  <c r="C20" i="7"/>
  <c r="C23" i="7"/>
  <c r="G5" i="6"/>
  <c r="C169" i="7"/>
  <c r="G20" i="6"/>
  <c r="G25" i="6"/>
  <c r="C269" i="7"/>
  <c r="G30" i="6"/>
  <c r="C314" i="7"/>
  <c r="G35" i="6"/>
  <c r="G40" i="6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16" i="7"/>
  <c r="B317" i="7"/>
  <c r="B318" i="7"/>
  <c r="B319" i="7"/>
  <c r="B320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71" i="7"/>
  <c r="B272" i="7"/>
  <c r="B273" i="7"/>
  <c r="B274" i="7"/>
  <c r="B275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71" i="7"/>
  <c r="B172" i="7"/>
  <c r="B173" i="7"/>
  <c r="B174" i="7"/>
  <c r="B175" i="7"/>
  <c r="B81" i="7"/>
  <c r="B82" i="7"/>
  <c r="B83" i="7"/>
  <c r="B84" i="7"/>
  <c r="B85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D23" i="7"/>
  <c r="E23" i="7"/>
  <c r="B23" i="7"/>
  <c r="D169" i="7"/>
  <c r="E169" i="7"/>
  <c r="B169" i="7"/>
  <c r="F20" i="6"/>
  <c r="F5" i="6"/>
  <c r="B124" i="7"/>
  <c r="F15" i="6"/>
  <c r="B223" i="7"/>
  <c r="F25" i="6"/>
  <c r="B269" i="7"/>
  <c r="F30" i="6"/>
  <c r="B314" i="7"/>
  <c r="F35" i="6"/>
  <c r="F40" i="6"/>
  <c r="B14" i="7"/>
  <c r="B18" i="7"/>
  <c r="B59" i="7"/>
  <c r="B73" i="7"/>
  <c r="B76" i="7"/>
  <c r="B104" i="7"/>
  <c r="B147" i="7"/>
  <c r="B161" i="7"/>
  <c r="C5" i="6"/>
  <c r="D5" i="6"/>
  <c r="H5" i="6"/>
  <c r="I5" i="6"/>
  <c r="J5" i="6"/>
  <c r="K5" i="6"/>
  <c r="O5" i="6"/>
  <c r="C10" i="6"/>
  <c r="D10" i="6"/>
  <c r="J10" i="6"/>
  <c r="K10" i="6"/>
  <c r="O10" i="6"/>
  <c r="C20" i="6"/>
  <c r="D20" i="6"/>
  <c r="H20" i="6"/>
  <c r="I20" i="6"/>
  <c r="J20" i="6"/>
  <c r="K20" i="6"/>
  <c r="O20" i="6"/>
  <c r="C25" i="6"/>
  <c r="D25" i="6"/>
  <c r="H25" i="6"/>
  <c r="I25" i="6"/>
  <c r="J25" i="6"/>
  <c r="K25" i="6"/>
  <c r="O25" i="6"/>
  <c r="B263" i="7"/>
  <c r="C30" i="6"/>
  <c r="B266" i="7"/>
  <c r="D30" i="6"/>
  <c r="D269" i="7"/>
  <c r="H30" i="6"/>
  <c r="E269" i="7"/>
  <c r="I30" i="6"/>
  <c r="J30" i="6"/>
  <c r="K30" i="6"/>
  <c r="O30" i="6"/>
  <c r="B308" i="7"/>
  <c r="C35" i="6"/>
  <c r="B311" i="7"/>
  <c r="D35" i="6"/>
  <c r="D314" i="7"/>
  <c r="H35" i="6"/>
  <c r="E314" i="7"/>
  <c r="I35" i="6"/>
  <c r="J35" i="6"/>
  <c r="K35" i="6"/>
  <c r="O35" i="6"/>
  <c r="O40" i="6"/>
  <c r="K40" i="6"/>
  <c r="J40" i="6"/>
  <c r="I40" i="6"/>
  <c r="H40" i="6"/>
  <c r="D40" i="6"/>
  <c r="C40" i="6"/>
  <c r="B196" i="7"/>
  <c r="B294" i="7"/>
  <c r="B341" i="7"/>
  <c r="B343" i="7"/>
  <c r="F4" i="1"/>
  <c r="C18" i="5"/>
  <c r="F37" i="5" l="1"/>
  <c r="F53" i="5" s="1"/>
  <c r="B106" i="5" s="1"/>
  <c r="C4" i="1"/>
  <c r="O4" i="1" s="1"/>
  <c r="F54" i="5"/>
  <c r="C106" i="5" s="1"/>
  <c r="J9" i="1"/>
  <c r="O9" i="1" s="1"/>
  <c r="D105" i="5" l="1"/>
  <c r="D106" i="5"/>
</calcChain>
</file>

<file path=xl/sharedStrings.xml><?xml version="1.0" encoding="utf-8"?>
<sst xmlns="http://schemas.openxmlformats.org/spreadsheetml/2006/main" count="785" uniqueCount="249">
  <si>
    <t>Estimated budget - Resources</t>
  </si>
  <si>
    <t>Participant</t>
  </si>
  <si>
    <t>A Personnel</t>
  </si>
  <si>
    <t>Name</t>
  </si>
  <si>
    <t>x person months</t>
  </si>
  <si>
    <t>x Euro</t>
  </si>
  <si>
    <t>x travels</t>
  </si>
  <si>
    <t>x persons travelling</t>
  </si>
  <si>
    <t>X Euro</t>
  </si>
  <si>
    <t>B Subcontracting</t>
  </si>
  <si>
    <t>C 1a Travel</t>
  </si>
  <si>
    <t>C 1b Accommodation</t>
  </si>
  <si>
    <t>C 1c Subsistence</t>
  </si>
  <si>
    <t>C 2 Equipment</t>
  </si>
  <si>
    <t>C 3 Other goods, works and services</t>
  </si>
  <si>
    <t>D 1 Financial support to third parties</t>
  </si>
  <si>
    <t>x grants</t>
  </si>
  <si>
    <t>E Indirect costs</t>
  </si>
  <si>
    <t>Total costs</t>
  </si>
  <si>
    <t>n/a</t>
  </si>
  <si>
    <t>Estimated budget - Resources detail</t>
  </si>
  <si>
    <t>Function</t>
  </si>
  <si>
    <t>Person months</t>
  </si>
  <si>
    <t>Days</t>
  </si>
  <si>
    <t>Total in Euro</t>
  </si>
  <si>
    <t>director</t>
  </si>
  <si>
    <t>Comments</t>
  </si>
  <si>
    <t>Philippe Lemmens</t>
  </si>
  <si>
    <t>Elke Vandermeerschen</t>
  </si>
  <si>
    <t>Magda Tancau</t>
  </si>
  <si>
    <t>Finance/admin.</t>
  </si>
  <si>
    <t xml:space="preserve">TBC </t>
  </si>
  <si>
    <t>Rebecca Lee</t>
  </si>
  <si>
    <t>Sigrid Dahmen</t>
  </si>
  <si>
    <t>Sabrina Iannazzone</t>
  </si>
  <si>
    <t>Total staff</t>
  </si>
  <si>
    <t>Events</t>
  </si>
  <si>
    <t>Bureau 1</t>
  </si>
  <si>
    <t>European PeP</t>
  </si>
  <si>
    <t>Number persons</t>
  </si>
  <si>
    <t>2,5 days</t>
  </si>
  <si>
    <t>Folders, posters, reports</t>
  </si>
  <si>
    <t>Website and social media</t>
  </si>
  <si>
    <t>Campaigns</t>
  </si>
  <si>
    <t>Staff development days</t>
  </si>
  <si>
    <t>Poverty watch contracts NN</t>
  </si>
  <si>
    <t>Staff personal skills</t>
  </si>
  <si>
    <t>Pillar/Semester contracts NN</t>
  </si>
  <si>
    <t>Expert accountant</t>
  </si>
  <si>
    <t>Consultancy</t>
  </si>
  <si>
    <t>Audits</t>
  </si>
  <si>
    <t>Rent offices + charges</t>
  </si>
  <si>
    <t>Photocopies</t>
  </si>
  <si>
    <t>Tech support</t>
  </si>
  <si>
    <t>Electricity</t>
  </si>
  <si>
    <t>Cleaning</t>
  </si>
  <si>
    <t>Telephone/internet</t>
  </si>
  <si>
    <t>Postage</t>
  </si>
  <si>
    <t>Office supplies</t>
  </si>
  <si>
    <t>Insurances</t>
  </si>
  <si>
    <t>Bank charges</t>
  </si>
  <si>
    <t>Overall total</t>
  </si>
  <si>
    <t>Meeting tools (zoom)</t>
  </si>
  <si>
    <t>Kahina Rabahi</t>
  </si>
  <si>
    <t>Bureau zoom meetings (4)</t>
  </si>
  <si>
    <t>Bureau meetings (online 4 meetings - 3 H/meeting - 3 languages)</t>
  </si>
  <si>
    <t>Euisg 1 + Pol Conference - May</t>
  </si>
  <si>
    <t>ExCo 1 + Policy Conf - May</t>
  </si>
  <si>
    <t>2,5 days (3 nights)</t>
  </si>
  <si>
    <t>ExCo zoom meetings (3)</t>
  </si>
  <si>
    <t>ExCo zoom (3 meetings - 3 H/meeting - 3 languages)</t>
  </si>
  <si>
    <t>4 persons / Network - 1,5 days (2 nights) - no interpretation</t>
  </si>
  <si>
    <t>Paid by EC</t>
  </si>
  <si>
    <t>Euisg 2 + EU PW launch event - October</t>
  </si>
  <si>
    <t>ExCo 2 + EU PW launch event - October</t>
  </si>
  <si>
    <t>Needed co-financing</t>
  </si>
  <si>
    <t>Development/Participation</t>
  </si>
  <si>
    <t>Communication</t>
  </si>
  <si>
    <t>Policy and Advocacy Coordinator</t>
  </si>
  <si>
    <t>Policy Officer 1</t>
  </si>
  <si>
    <t>Policy Officer 2</t>
  </si>
  <si>
    <t>Events Officer</t>
  </si>
  <si>
    <t>Office Manager</t>
  </si>
  <si>
    <t>Stagiaires</t>
  </si>
  <si>
    <t>CIP Comm.</t>
  </si>
  <si>
    <t>CIP Admin.</t>
  </si>
  <si>
    <t>EAPN</t>
  </si>
  <si>
    <t>1 day (2 nights)</t>
  </si>
  <si>
    <t>A. Personnel</t>
  </si>
  <si>
    <t xml:space="preserve">C 1c Subsistence </t>
  </si>
  <si>
    <t>Bureau 1 - interpretation case</t>
  </si>
  <si>
    <t>ExCo 1 + Policy Conf - May - interpretation cabines</t>
  </si>
  <si>
    <t>ExCo 2 + EU PW launch event - October - interpretation cabines</t>
  </si>
  <si>
    <t>European PeP - microphones-soundsystem</t>
  </si>
  <si>
    <t>Laptops depreciation</t>
  </si>
  <si>
    <t>Premises works - depreciated</t>
  </si>
  <si>
    <t>Software - yearly cost</t>
  </si>
  <si>
    <t>Licences - yearly cost</t>
  </si>
  <si>
    <t>B. Subcontracting</t>
  </si>
  <si>
    <t xml:space="preserve">Bureau 1 - interpretation 3 languages </t>
  </si>
  <si>
    <t>Bureau zoom meetings - interpretation (4 online)</t>
  </si>
  <si>
    <t>ExCo 1 + Policy Conf - interpretation 3 languages</t>
  </si>
  <si>
    <t>ExCo 2 + EU PW launch event - interpretation 3 languages</t>
  </si>
  <si>
    <t>ExCo zoom meetings - interpretations (3 online)</t>
  </si>
  <si>
    <t>ExCo 1 + Policy Conf - meeting rooms</t>
  </si>
  <si>
    <t>ExCo 2 + EU PW launch event - meeting rooms</t>
  </si>
  <si>
    <t>Euisg 1 + Pol Conference - meeting rooms</t>
  </si>
  <si>
    <t>Euisg 2 + EU PW launch event - meeting rooms</t>
  </si>
  <si>
    <t>Representation meeting rooms</t>
  </si>
  <si>
    <t>European PeP - meeting rooms</t>
  </si>
  <si>
    <t>ExCo 1 + Policy Conf - catering</t>
  </si>
  <si>
    <t>ExCo 2 + EU PW launch event - catering</t>
  </si>
  <si>
    <t>Euisg 1 + Pol Conference - catering</t>
  </si>
  <si>
    <t>Euisg 2 + EU PW launch event - catering</t>
  </si>
  <si>
    <t>Representation - catering</t>
  </si>
  <si>
    <t>European PeP - catering</t>
  </si>
  <si>
    <t>Work Package 1</t>
  </si>
  <si>
    <t>Amount in Euro</t>
  </si>
  <si>
    <t>Stagiaires - 0 days</t>
  </si>
  <si>
    <t>Total</t>
  </si>
  <si>
    <t xml:space="preserve">Travel / Accommodation / Subsistence </t>
  </si>
  <si>
    <t>C 1a</t>
  </si>
  <si>
    <t>C 1b</t>
  </si>
  <si>
    <t>C 1c</t>
  </si>
  <si>
    <t>Persons traveling</t>
  </si>
  <si>
    <t>Work Package 2</t>
  </si>
  <si>
    <t>Total WP 1</t>
  </si>
  <si>
    <t>Total WP 2</t>
  </si>
  <si>
    <t>Work Package 3</t>
  </si>
  <si>
    <t>Policy and Advocacy Coordinator - 45 days</t>
  </si>
  <si>
    <t>Finance manager - 0 days</t>
  </si>
  <si>
    <t>Office Manager - 0 days</t>
  </si>
  <si>
    <t>Total WP 3</t>
  </si>
  <si>
    <t>Work Package 4</t>
  </si>
  <si>
    <t xml:space="preserve">Consultancy </t>
  </si>
  <si>
    <t>Total WP 4</t>
  </si>
  <si>
    <t>Work Package 5</t>
  </si>
  <si>
    <t>Total WP 5</t>
  </si>
  <si>
    <t>Representation catering</t>
  </si>
  <si>
    <t>Work Package 6</t>
  </si>
  <si>
    <t>Total WP 6</t>
  </si>
  <si>
    <t>Representation policy</t>
  </si>
  <si>
    <t>Representation capacity building</t>
  </si>
  <si>
    <t>Representation - catering capacity building</t>
  </si>
  <si>
    <t>Representation meeting rooms capacity building</t>
  </si>
  <si>
    <t>Consultancy capacity building</t>
  </si>
  <si>
    <t>Bureau zoom meetings - interpretation (2 online)</t>
  </si>
  <si>
    <t>Work Package 7</t>
  </si>
  <si>
    <t>Total WP 7</t>
  </si>
  <si>
    <t>Consultancy communication</t>
  </si>
  <si>
    <t>Representation communication</t>
  </si>
  <si>
    <t>Representation - catering communication</t>
  </si>
  <si>
    <t>Representation meeting rooms communication</t>
  </si>
  <si>
    <t>Overall total Work Packages</t>
  </si>
  <si>
    <t>Information and Events officer - 45 days</t>
  </si>
  <si>
    <t>Personnel amounts</t>
  </si>
  <si>
    <t>director - 210 days</t>
  </si>
  <si>
    <t>Finance manager - 210 days</t>
  </si>
  <si>
    <t>Communications officer - 180 days</t>
  </si>
  <si>
    <t>Participation and Membership Development officer - 225 days</t>
  </si>
  <si>
    <t>Policy and Advocacy Coordinator - 225 days</t>
  </si>
  <si>
    <t>Policy Officer 1 - 225 days</t>
  </si>
  <si>
    <t>Policy Officer 2 - 225 days</t>
  </si>
  <si>
    <t>Information and Events officer - 225 days</t>
  </si>
  <si>
    <t>Office Manager - 132 days</t>
  </si>
  <si>
    <t>Stagiaires - 150 days</t>
  </si>
  <si>
    <t>Euisg 1 + EU PW launch event - catering</t>
  </si>
  <si>
    <t>director - 105 days</t>
  </si>
  <si>
    <t>Finance manager - 105 days</t>
  </si>
  <si>
    <t>Office Manager - 66 days</t>
  </si>
  <si>
    <t>director - 15,75 days</t>
  </si>
  <si>
    <t>Finance manager - 26,25 days</t>
  </si>
  <si>
    <t>Communications officer - 9 days</t>
  </si>
  <si>
    <t>Participation and Membership Development officer - 22,5 days</t>
  </si>
  <si>
    <t>Policy Officer 1 - 16,88 days</t>
  </si>
  <si>
    <t>Policy Officer 2 - 157,5 days</t>
  </si>
  <si>
    <t>Information and Events officer - 22,5 days</t>
  </si>
  <si>
    <t>Office Manager - 16,5 days</t>
  </si>
  <si>
    <t>Communications officer - 4,5 days</t>
  </si>
  <si>
    <t>Participation and Membership Development officer - 0 days</t>
  </si>
  <si>
    <t>Policy Officer 1 - 157,5 days</t>
  </si>
  <si>
    <t>Policy Officer 2 - 33,75 days</t>
  </si>
  <si>
    <t>Information and Events officer - 11,25 days</t>
  </si>
  <si>
    <t>director - 21 days</t>
  </si>
  <si>
    <t>Participation and Membership Development officer -  0 days</t>
  </si>
  <si>
    <t>Policy and Advocacy Coordinator - 135 days</t>
  </si>
  <si>
    <t>Policy Officer 2 - 11,25 days</t>
  </si>
  <si>
    <t>Stagiaires - 7,5 days</t>
  </si>
  <si>
    <t>Finance manager - 52,5 days</t>
  </si>
  <si>
    <t>Communications officer - 18 days</t>
  </si>
  <si>
    <t>Participation and Membership Development officer - 157,5 days</t>
  </si>
  <si>
    <t>Policy and Advocacy Coordinator - 5,63 days</t>
  </si>
  <si>
    <t>Policy Officer 1 - 0 days</t>
  </si>
  <si>
    <t>Policy Officer 2 - 0 days</t>
  </si>
  <si>
    <t>Office Manager - 33 days</t>
  </si>
  <si>
    <t>Stagiaires - 75 days</t>
  </si>
  <si>
    <t>Participation and Membership Development officer - 45 days</t>
  </si>
  <si>
    <t>Policy Officer 1 - 33,75 days</t>
  </si>
  <si>
    <t>Policy Officer 2 - 22,5 days</t>
  </si>
  <si>
    <t>Information and Events officer - 33,75 days</t>
  </si>
  <si>
    <t>Communications officer - 126 days</t>
  </si>
  <si>
    <t>Information and Events officer - 67,5 days</t>
  </si>
  <si>
    <t>Stagiaires - 45 days</t>
  </si>
  <si>
    <t>Communications officer - 0 days</t>
  </si>
  <si>
    <t>Policy and Advocacy Coordinator - 0 days</t>
  </si>
  <si>
    <t>Stagiaires - 15 days</t>
  </si>
  <si>
    <t>Policy and Advocacy Coordinator - 16,87 days</t>
  </si>
  <si>
    <t>Policy Officer 1 - 16,87 days</t>
  </si>
  <si>
    <t>PM</t>
  </si>
  <si>
    <t>Totals</t>
  </si>
  <si>
    <t>Contracts NN - PEP meeting rooms</t>
  </si>
  <si>
    <t>Contracts NN - PEP reproduction/publication</t>
  </si>
  <si>
    <t>Contracts NN - Poverty Watch</t>
  </si>
  <si>
    <t>Contracts NN - Social Pillar</t>
  </si>
  <si>
    <t xml:space="preserve">Contracts NN - PEP catering </t>
  </si>
  <si>
    <t>Contracts NN - PEP coordination</t>
  </si>
  <si>
    <t xml:space="preserve">Contracts NN - Translations </t>
  </si>
  <si>
    <t>Contracts NN - PEP travel</t>
  </si>
  <si>
    <t>Contracts NN - PEP accommodation</t>
  </si>
  <si>
    <t>Contracts NN - PEP subsistence</t>
  </si>
  <si>
    <t>Contracts NN - PEP travel 250</t>
  </si>
  <si>
    <t>Spent</t>
  </si>
  <si>
    <t>Budgeted</t>
  </si>
  <si>
    <t>ExCo 1 + Policy Conf - May - budgeted</t>
  </si>
  <si>
    <t>ExCo 1 + Policy Conf - May - spent</t>
  </si>
  <si>
    <t>ExCo 2 + EU PW launch - October - budgeted</t>
  </si>
  <si>
    <t>ExCo 2 + EU PW launch - October - spent</t>
  </si>
  <si>
    <t>Euisg 1 + Pol Conference - May - spent</t>
  </si>
  <si>
    <t>Euisg 1 + Pol Conference - May - budgeted</t>
  </si>
  <si>
    <t>Euisg 2 + EU PW launch October - budgeted</t>
  </si>
  <si>
    <t>Euisg 2 + EU PW launch October - spent</t>
  </si>
  <si>
    <t>Representation budgeted</t>
  </si>
  <si>
    <t>Representation spent</t>
  </si>
  <si>
    <t>Total budgeted</t>
  </si>
  <si>
    <t xml:space="preserve">Budgeted </t>
  </si>
  <si>
    <t xml:space="preserve">Total </t>
  </si>
  <si>
    <t xml:space="preserve">Spent budget </t>
  </si>
  <si>
    <t>Helder Ferreira</t>
  </si>
  <si>
    <t xml:space="preserve">Representation zoom meetings - interpretations </t>
  </si>
  <si>
    <t>Ana Beatriz Martinho Carvalho</t>
  </si>
  <si>
    <t>Bureau 2- catering</t>
  </si>
  <si>
    <t>Juliana Santos Wahlgren</t>
  </si>
  <si>
    <t>Seila Gois Habib</t>
  </si>
  <si>
    <t>Policy Conf - interpretation 3 languages (online)</t>
  </si>
  <si>
    <t>ExCo 1 zoom meetings - interpretations (3 online)</t>
  </si>
  <si>
    <t>GA zoom meeting - interpretation</t>
  </si>
  <si>
    <t>01to09/2022</t>
  </si>
  <si>
    <t>Bureau 2 - spent</t>
  </si>
  <si>
    <t>Bureau 2 - 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</si>
</sst>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3" borderId="0" xfId="0" applyFont="1" applyFill="1" applyAlignment="1">
      <alignment vertical="center"/>
    </xf>
    <xf numFmtId="4" fontId="0" fillId="3" borderId="0" xfId="0" applyNumberFormat="1" applyFont="1" applyFill="1" applyAlignment="1">
      <alignment vertical="center"/>
    </xf>
    <xf numFmtId="0" fontId="0" fillId="3" borderId="0" xfId="0" applyFont="1" applyFill="1"/>
    <xf numFmtId="0" fontId="0" fillId="0" borderId="0" xfId="0" applyFill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4" fontId="0" fillId="0" borderId="0" xfId="0" applyNumberFormat="1" applyAlignment="1"/>
    <xf numFmtId="4" fontId="1" fillId="0" borderId="0" xfId="0" applyNumberFormat="1" applyFont="1" applyAlignme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0" xfId="0" applyNumberFormat="1" applyFont="1"/>
    <xf numFmtId="0" fontId="0" fillId="0" borderId="0" xfId="0" applyAlignment="1"/>
    <xf numFmtId="4" fontId="0" fillId="0" borderId="0" xfId="0" applyNumberFormat="1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wrapText="1"/>
    </xf>
    <xf numFmtId="2" fontId="1" fillId="0" borderId="0" xfId="0" applyNumberFormat="1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Alignme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tabSelected="1" workbookViewId="0">
      <selection activeCell="O9" sqref="A1:O9"/>
    </sheetView>
  </sheetViews>
  <sheetFormatPr defaultRowHeight="15" x14ac:dyDescent="0.25"/>
  <cols>
    <col min="1" max="2" width="20" customWidth="1"/>
    <col min="3" max="3" width="14.28515625" customWidth="1"/>
    <col min="4" max="5" width="20" customWidth="1"/>
    <col min="6" max="6" width="15.7109375" customWidth="1"/>
    <col min="7" max="7" width="14" customWidth="1"/>
    <col min="8" max="8" width="20" customWidth="1"/>
    <col min="9" max="9" width="16.42578125" customWidth="1"/>
    <col min="10" max="10" width="15.7109375" customWidth="1"/>
    <col min="11" max="11" width="18.5703125" customWidth="1"/>
    <col min="12" max="12" width="14.85546875" customWidth="1"/>
    <col min="13" max="13" width="16" customWidth="1"/>
    <col min="14" max="14" width="14.28515625" customWidth="1"/>
    <col min="15" max="23" width="20" customWidth="1"/>
  </cols>
  <sheetData>
    <row r="1" spans="1:15" ht="25.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34.5" customHeight="1" x14ac:dyDescent="0.25">
      <c r="A2" s="51" t="s">
        <v>1</v>
      </c>
      <c r="B2" s="70" t="s">
        <v>2</v>
      </c>
      <c r="C2" s="70"/>
      <c r="D2" s="51" t="s">
        <v>9</v>
      </c>
      <c r="E2" s="70" t="s">
        <v>10</v>
      </c>
      <c r="F2" s="70"/>
      <c r="G2" s="70"/>
      <c r="H2" s="51" t="s">
        <v>11</v>
      </c>
      <c r="I2" s="51" t="s">
        <v>12</v>
      </c>
      <c r="J2" s="51" t="s">
        <v>13</v>
      </c>
      <c r="K2" s="56" t="s">
        <v>14</v>
      </c>
      <c r="L2" s="71" t="s">
        <v>15</v>
      </c>
      <c r="M2" s="70"/>
      <c r="N2" s="51" t="s">
        <v>17</v>
      </c>
      <c r="O2" s="51" t="s">
        <v>18</v>
      </c>
    </row>
    <row r="3" spans="1:15" ht="34.5" customHeight="1" x14ac:dyDescent="0.25">
      <c r="A3" s="52" t="s">
        <v>3</v>
      </c>
      <c r="B3" s="52" t="s">
        <v>4</v>
      </c>
      <c r="C3" s="52" t="s">
        <v>5</v>
      </c>
      <c r="D3" s="52" t="s">
        <v>5</v>
      </c>
      <c r="E3" s="52" t="s">
        <v>6</v>
      </c>
      <c r="F3" s="53" t="s">
        <v>7</v>
      </c>
      <c r="G3" s="52" t="s">
        <v>5</v>
      </c>
      <c r="H3" s="52" t="s">
        <v>8</v>
      </c>
      <c r="I3" s="52" t="s">
        <v>5</v>
      </c>
      <c r="J3" s="52" t="s">
        <v>5</v>
      </c>
      <c r="K3" s="52" t="s">
        <v>5</v>
      </c>
      <c r="L3" s="52" t="s">
        <v>16</v>
      </c>
      <c r="M3" s="52" t="s">
        <v>5</v>
      </c>
      <c r="N3" s="52" t="s">
        <v>19</v>
      </c>
      <c r="O3" s="52" t="s">
        <v>5</v>
      </c>
    </row>
    <row r="4" spans="1:15" ht="25.5" customHeight="1" x14ac:dyDescent="0.25">
      <c r="A4" s="51" t="s">
        <v>86</v>
      </c>
      <c r="B4" s="51"/>
      <c r="C4" s="55">
        <f>'Detail expenses'!E18</f>
        <v>606903.48</v>
      </c>
      <c r="D4" s="55">
        <f>'Detail expenses'!B34</f>
        <v>266500</v>
      </c>
      <c r="E4" s="55">
        <v>166.18</v>
      </c>
      <c r="F4" s="51">
        <f>'Detail expenses'!B53</f>
        <v>261</v>
      </c>
      <c r="G4" s="55">
        <f>'Detail expenses'!C53</f>
        <v>57420</v>
      </c>
      <c r="H4" s="55">
        <f>'Detail expenses'!D53</f>
        <v>58635</v>
      </c>
      <c r="I4" s="55">
        <f>'Detail expenses'!E53</f>
        <v>13467.5</v>
      </c>
      <c r="J4" s="55">
        <f>'Detail expenses'!B65</f>
        <v>18100</v>
      </c>
      <c r="K4" s="55">
        <f>'Detail expenses'!B104</f>
        <v>163690</v>
      </c>
      <c r="L4" s="51">
        <v>0</v>
      </c>
      <c r="M4" s="55">
        <v>0</v>
      </c>
      <c r="N4" s="55">
        <v>0</v>
      </c>
      <c r="O4" s="55">
        <f>C4+D4+G4+H4+I4+J4+K4+M4+N4</f>
        <v>1184715.98</v>
      </c>
    </row>
    <row r="5" spans="1:15" ht="25.5" customHeight="1" x14ac:dyDescent="0.25"/>
    <row r="6" spans="1:15" ht="25.5" customHeight="1" x14ac:dyDescent="0.25">
      <c r="A6" s="51" t="s">
        <v>236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25.5" customHeight="1" x14ac:dyDescent="0.25">
      <c r="A7" s="51" t="s">
        <v>1</v>
      </c>
      <c r="B7" s="70" t="s">
        <v>2</v>
      </c>
      <c r="C7" s="70"/>
      <c r="D7" s="51" t="s">
        <v>9</v>
      </c>
      <c r="E7" s="70" t="s">
        <v>10</v>
      </c>
      <c r="F7" s="70"/>
      <c r="G7" s="70"/>
      <c r="H7" s="51" t="s">
        <v>11</v>
      </c>
      <c r="I7" s="51" t="s">
        <v>12</v>
      </c>
      <c r="J7" s="51" t="s">
        <v>13</v>
      </c>
      <c r="K7" s="61" t="s">
        <v>14</v>
      </c>
      <c r="L7" s="71" t="s">
        <v>15</v>
      </c>
      <c r="M7" s="70"/>
      <c r="N7" s="51" t="s">
        <v>17</v>
      </c>
      <c r="O7" s="51" t="s">
        <v>18</v>
      </c>
    </row>
    <row r="8" spans="1:15" ht="25.5" customHeight="1" x14ac:dyDescent="0.25">
      <c r="A8" s="52" t="s">
        <v>3</v>
      </c>
      <c r="B8" s="52" t="s">
        <v>4</v>
      </c>
      <c r="C8" s="52" t="s">
        <v>5</v>
      </c>
      <c r="D8" s="52" t="s">
        <v>5</v>
      </c>
      <c r="E8" s="52" t="s">
        <v>6</v>
      </c>
      <c r="F8" s="62" t="s">
        <v>7</v>
      </c>
      <c r="G8" s="52" t="s">
        <v>5</v>
      </c>
      <c r="H8" s="52" t="s">
        <v>8</v>
      </c>
      <c r="I8" s="52" t="s">
        <v>5</v>
      </c>
      <c r="J8" s="52" t="s">
        <v>5</v>
      </c>
      <c r="K8" s="52" t="s">
        <v>5</v>
      </c>
      <c r="L8" s="52" t="s">
        <v>16</v>
      </c>
      <c r="M8" s="52" t="s">
        <v>5</v>
      </c>
      <c r="N8" s="52" t="s">
        <v>19</v>
      </c>
      <c r="O8" s="52" t="s">
        <v>5</v>
      </c>
    </row>
    <row r="9" spans="1:15" ht="25.5" customHeight="1" x14ac:dyDescent="0.25">
      <c r="A9" s="51" t="s">
        <v>86</v>
      </c>
      <c r="B9" s="51"/>
      <c r="C9" s="55">
        <f>'Detail expenses'!F18</f>
        <v>387052.37999999995</v>
      </c>
      <c r="D9" s="55">
        <f>'Detail expenses'!C34</f>
        <v>8060.6</v>
      </c>
      <c r="E9" s="55">
        <v>0</v>
      </c>
      <c r="F9" s="55">
        <f>'Detail expenses'!B54</f>
        <v>4</v>
      </c>
      <c r="G9" s="55">
        <f>'Detail expenses'!C54</f>
        <v>1980.7</v>
      </c>
      <c r="H9" s="55">
        <f>'Detail expenses'!D54</f>
        <v>879.48</v>
      </c>
      <c r="I9" s="55">
        <f>'Detail expenses'!E54</f>
        <v>173.34</v>
      </c>
      <c r="J9" s="55">
        <f>'Detail expenses'!C65</f>
        <v>3954.48</v>
      </c>
      <c r="K9" s="55">
        <f>'Detail expenses'!C104</f>
        <v>84108.74</v>
      </c>
      <c r="L9" s="51">
        <v>0</v>
      </c>
      <c r="M9" s="55">
        <v>0</v>
      </c>
      <c r="N9" s="55">
        <v>0</v>
      </c>
      <c r="O9" s="55">
        <f>C9+D9+G9+H9+I9+J9+K9+M9+N9</f>
        <v>486209.71999999991</v>
      </c>
    </row>
    <row r="10" spans="1:15" ht="25.5" customHeight="1" x14ac:dyDescent="0.25"/>
    <row r="11" spans="1:15" ht="25.5" customHeight="1" x14ac:dyDescent="0.25"/>
    <row r="12" spans="1:15" ht="25.5" customHeight="1" x14ac:dyDescent="0.25"/>
    <row r="13" spans="1:15" ht="25.5" customHeight="1" x14ac:dyDescent="0.25"/>
    <row r="14" spans="1:15" ht="25.5" customHeight="1" x14ac:dyDescent="0.25"/>
    <row r="15" spans="1:15" ht="25.5" customHeight="1" x14ac:dyDescent="0.25"/>
    <row r="16" spans="1:15" ht="25.5" customHeight="1" x14ac:dyDescent="0.25"/>
    <row r="17" ht="25.5" customHeight="1" x14ac:dyDescent="0.25"/>
    <row r="18" ht="25.5" customHeight="1" x14ac:dyDescent="0.25"/>
    <row r="19" ht="25.5" customHeight="1" x14ac:dyDescent="0.25"/>
    <row r="20" ht="25.5" customHeight="1" x14ac:dyDescent="0.25"/>
    <row r="21" ht="25.5" customHeight="1" x14ac:dyDescent="0.25"/>
    <row r="22" ht="25.5" customHeight="1" x14ac:dyDescent="0.25"/>
    <row r="23" ht="25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25.5" customHeight="1" x14ac:dyDescent="0.25"/>
    <row r="46" ht="25.5" customHeight="1" x14ac:dyDescent="0.25"/>
    <row r="47" ht="25.5" customHeight="1" x14ac:dyDescent="0.25"/>
    <row r="4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  <row r="102" ht="25.5" customHeight="1" x14ac:dyDescent="0.25"/>
    <row r="103" ht="25.5" customHeight="1" x14ac:dyDescent="0.25"/>
    <row r="104" ht="25.5" customHeight="1" x14ac:dyDescent="0.25"/>
    <row r="105" ht="25.5" customHeight="1" x14ac:dyDescent="0.25"/>
    <row r="106" ht="25.5" customHeight="1" x14ac:dyDescent="0.25"/>
    <row r="107" ht="25.5" customHeight="1" x14ac:dyDescent="0.25"/>
    <row r="108" ht="25.5" customHeight="1" x14ac:dyDescent="0.25"/>
    <row r="109" ht="25.5" customHeight="1" x14ac:dyDescent="0.25"/>
    <row r="110" ht="25.5" customHeight="1" x14ac:dyDescent="0.25"/>
    <row r="111" ht="25.5" customHeight="1" x14ac:dyDescent="0.25"/>
    <row r="112" ht="25.5" customHeight="1" x14ac:dyDescent="0.25"/>
    <row r="113" ht="25.5" customHeight="1" x14ac:dyDescent="0.25"/>
    <row r="114" ht="25.5" customHeight="1" x14ac:dyDescent="0.25"/>
    <row r="115" ht="25.5" customHeight="1" x14ac:dyDescent="0.25"/>
    <row r="116" ht="25.5" customHeight="1" x14ac:dyDescent="0.25"/>
    <row r="117" ht="25.5" customHeight="1" x14ac:dyDescent="0.25"/>
    <row r="118" ht="25.5" customHeight="1" x14ac:dyDescent="0.25"/>
    <row r="119" ht="25.5" customHeight="1" x14ac:dyDescent="0.25"/>
    <row r="120" ht="25.5" customHeight="1" x14ac:dyDescent="0.25"/>
    <row r="121" ht="25.5" customHeight="1" x14ac:dyDescent="0.25"/>
    <row r="122" ht="25.5" customHeight="1" x14ac:dyDescent="0.25"/>
    <row r="123" ht="25.5" customHeight="1" x14ac:dyDescent="0.25"/>
    <row r="124" ht="25.5" customHeight="1" x14ac:dyDescent="0.25"/>
    <row r="125" ht="25.5" customHeight="1" x14ac:dyDescent="0.25"/>
    <row r="126" ht="25.5" customHeight="1" x14ac:dyDescent="0.25"/>
    <row r="127" ht="25.5" customHeight="1" x14ac:dyDescent="0.25"/>
    <row r="128" ht="25.5" customHeight="1" x14ac:dyDescent="0.25"/>
    <row r="129" ht="25.5" customHeight="1" x14ac:dyDescent="0.25"/>
    <row r="130" ht="25.5" customHeight="1" x14ac:dyDescent="0.25"/>
    <row r="131" ht="25.5" customHeight="1" x14ac:dyDescent="0.25"/>
    <row r="132" ht="25.5" customHeight="1" x14ac:dyDescent="0.25"/>
    <row r="133" ht="25.5" customHeight="1" x14ac:dyDescent="0.25"/>
    <row r="134" ht="25.5" customHeight="1" x14ac:dyDescent="0.25"/>
    <row r="135" ht="25.5" customHeight="1" x14ac:dyDescent="0.25"/>
    <row r="136" ht="25.5" customHeight="1" x14ac:dyDescent="0.25"/>
    <row r="137" ht="25.5" customHeight="1" x14ac:dyDescent="0.25"/>
    <row r="138" ht="25.5" customHeight="1" x14ac:dyDescent="0.25"/>
    <row r="139" ht="25.5" customHeight="1" x14ac:dyDescent="0.25"/>
    <row r="140" ht="25.5" customHeight="1" x14ac:dyDescent="0.25"/>
    <row r="141" ht="25.5" customHeight="1" x14ac:dyDescent="0.25"/>
    <row r="142" ht="25.5" customHeight="1" x14ac:dyDescent="0.25"/>
    <row r="143" ht="25.5" customHeight="1" x14ac:dyDescent="0.25"/>
    <row r="144" ht="25.5" customHeight="1" x14ac:dyDescent="0.25"/>
    <row r="145" ht="25.5" customHeight="1" x14ac:dyDescent="0.25"/>
    <row r="146" ht="25.5" customHeight="1" x14ac:dyDescent="0.25"/>
    <row r="147" ht="25.5" customHeight="1" x14ac:dyDescent="0.25"/>
    <row r="148" ht="25.5" customHeight="1" x14ac:dyDescent="0.25"/>
    <row r="149" ht="25.5" customHeight="1" x14ac:dyDescent="0.25"/>
    <row r="150" ht="25.5" customHeight="1" x14ac:dyDescent="0.25"/>
    <row r="151" ht="25.5" customHeight="1" x14ac:dyDescent="0.25"/>
    <row r="152" ht="25.5" customHeight="1" x14ac:dyDescent="0.25"/>
    <row r="153" ht="25.5" customHeight="1" x14ac:dyDescent="0.25"/>
    <row r="154" ht="25.5" customHeight="1" x14ac:dyDescent="0.25"/>
    <row r="155" ht="25.5" customHeight="1" x14ac:dyDescent="0.25"/>
    <row r="156" ht="25.5" customHeight="1" x14ac:dyDescent="0.25"/>
    <row r="157" ht="25.5" customHeight="1" x14ac:dyDescent="0.25"/>
    <row r="158" ht="25.5" customHeight="1" x14ac:dyDescent="0.25"/>
    <row r="159" ht="25.5" customHeight="1" x14ac:dyDescent="0.25"/>
    <row r="160" ht="25.5" customHeight="1" x14ac:dyDescent="0.25"/>
    <row r="161" spans="1:13" ht="25.5" customHeight="1" x14ac:dyDescent="0.25"/>
    <row r="162" spans="1:13" ht="25.5" customHeight="1" x14ac:dyDescent="0.25"/>
    <row r="163" spans="1:13" ht="25.5" customHeight="1" x14ac:dyDescent="0.25"/>
    <row r="164" spans="1:13" ht="25.5" customHeight="1" x14ac:dyDescent="0.25"/>
    <row r="165" spans="1:13" ht="25.5" customHeight="1" x14ac:dyDescent="0.25"/>
    <row r="166" spans="1:13" ht="25.5" customHeight="1" x14ac:dyDescent="0.25"/>
    <row r="167" spans="1:13" ht="25.5" customHeight="1" x14ac:dyDescent="0.25"/>
    <row r="168" spans="1:13" ht="25.5" customHeight="1" x14ac:dyDescent="0.25"/>
    <row r="169" spans="1:13" ht="25.5" customHeight="1" x14ac:dyDescent="0.25"/>
    <row r="170" spans="1:13" ht="25.5" customHeight="1" x14ac:dyDescent="0.25"/>
    <row r="171" spans="1:13" ht="25.5" customHeight="1" x14ac:dyDescent="0.25"/>
    <row r="172" spans="1:13" ht="25.5" customHeight="1" x14ac:dyDescent="0.25"/>
    <row r="173" spans="1:13" ht="25.5" customHeight="1" x14ac:dyDescent="0.25"/>
    <row r="174" spans="1:13" ht="25.5" customHeight="1" x14ac:dyDescent="0.25"/>
    <row r="175" spans="1:13" ht="25.5" customHeight="1" x14ac:dyDescent="0.25">
      <c r="A175" s="1"/>
    </row>
    <row r="176" spans="1:13" ht="46.5" customHeight="1" x14ac:dyDescent="0.25">
      <c r="B176" s="68"/>
      <c r="C176" s="68"/>
      <c r="E176" s="68"/>
      <c r="F176" s="68"/>
      <c r="G176" s="68"/>
      <c r="K176" s="2"/>
      <c r="L176" s="69"/>
      <c r="M176" s="68"/>
    </row>
    <row r="177" ht="25.5" customHeight="1" x14ac:dyDescent="0.25"/>
    <row r="178" ht="25.5" customHeight="1" x14ac:dyDescent="0.25"/>
    <row r="179" ht="25.5" customHeight="1" x14ac:dyDescent="0.25"/>
    <row r="180" ht="25.5" customHeight="1" x14ac:dyDescent="0.25"/>
    <row r="181" ht="25.5" customHeight="1" x14ac:dyDescent="0.25"/>
    <row r="182" ht="25.5" customHeight="1" x14ac:dyDescent="0.25"/>
    <row r="183" ht="25.5" customHeight="1" x14ac:dyDescent="0.25"/>
    <row r="184" ht="25.5" customHeight="1" x14ac:dyDescent="0.25"/>
    <row r="185" ht="25.5" customHeight="1" x14ac:dyDescent="0.25"/>
    <row r="186" ht="25.5" customHeight="1" x14ac:dyDescent="0.25"/>
    <row r="187" ht="25.5" customHeight="1" x14ac:dyDescent="0.25"/>
    <row r="188" ht="25.5" customHeight="1" x14ac:dyDescent="0.25"/>
    <row r="189" ht="25.5" customHeight="1" x14ac:dyDescent="0.25"/>
    <row r="190" ht="25.5" customHeight="1" x14ac:dyDescent="0.25"/>
    <row r="191" ht="25.5" customHeight="1" x14ac:dyDescent="0.25"/>
    <row r="192" ht="25.5" customHeight="1" x14ac:dyDescent="0.25"/>
    <row r="193" ht="25.5" customHeight="1" x14ac:dyDescent="0.25"/>
    <row r="194" ht="25.5" customHeight="1" x14ac:dyDescent="0.25"/>
    <row r="195" ht="25.5" customHeight="1" x14ac:dyDescent="0.25"/>
    <row r="196" ht="25.5" customHeight="1" x14ac:dyDescent="0.25"/>
    <row r="197" ht="25.5" customHeight="1" x14ac:dyDescent="0.25"/>
    <row r="198" ht="25.5" customHeight="1" x14ac:dyDescent="0.25"/>
    <row r="199" ht="25.5" customHeight="1" x14ac:dyDescent="0.25"/>
    <row r="200" ht="25.5" customHeight="1" x14ac:dyDescent="0.25"/>
    <row r="201" ht="25.5" customHeight="1" x14ac:dyDescent="0.25"/>
    <row r="202" ht="25.5" customHeight="1" x14ac:dyDescent="0.25"/>
    <row r="203" ht="25.5" customHeight="1" x14ac:dyDescent="0.25"/>
  </sheetData>
  <mergeCells count="9">
    <mergeCell ref="B176:C176"/>
    <mergeCell ref="E176:G176"/>
    <mergeCell ref="L176:M176"/>
    <mergeCell ref="B2:C2"/>
    <mergeCell ref="E2:G2"/>
    <mergeCell ref="L2:M2"/>
    <mergeCell ref="B7:C7"/>
    <mergeCell ref="E7:G7"/>
    <mergeCell ref="L7:M7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9F6B-7C19-4A52-AEF7-31DF014A45C5}">
  <sheetPr>
    <pageSetUpPr fitToPage="1"/>
  </sheetPr>
  <dimension ref="A1:J237"/>
  <sheetViews>
    <sheetView topLeftCell="A51" workbookViewId="0">
      <selection activeCell="C94" sqref="C94"/>
    </sheetView>
  </sheetViews>
  <sheetFormatPr defaultRowHeight="15" x14ac:dyDescent="0.25"/>
  <cols>
    <col min="1" max="1" width="38.85546875" customWidth="1"/>
    <col min="2" max="3" width="15.5703125" customWidth="1"/>
    <col min="4" max="4" width="14.5703125" customWidth="1"/>
    <col min="5" max="5" width="16.42578125" customWidth="1"/>
    <col min="6" max="6" width="15.28515625" customWidth="1"/>
    <col min="7" max="7" width="13.28515625" customWidth="1"/>
    <col min="8" max="8" width="27.5703125" customWidth="1"/>
    <col min="9" max="9" width="14.85546875" customWidth="1"/>
    <col min="10" max="10" width="16" customWidth="1"/>
    <col min="11" max="11" width="14.28515625" customWidth="1"/>
    <col min="12" max="20" width="20" customWidth="1"/>
  </cols>
  <sheetData>
    <row r="1" spans="1:10" ht="25.5" customHeight="1" x14ac:dyDescent="0.25">
      <c r="A1" s="3" t="s">
        <v>20</v>
      </c>
      <c r="B1" s="67" t="s">
        <v>246</v>
      </c>
    </row>
    <row r="2" spans="1:10" ht="34.5" customHeight="1" x14ac:dyDescent="0.25">
      <c r="B2" s="68"/>
      <c r="C2" s="68"/>
      <c r="E2" s="68"/>
      <c r="F2" s="68"/>
      <c r="G2" s="68"/>
      <c r="I2" s="69"/>
      <c r="J2" s="68"/>
    </row>
    <row r="3" spans="1:10" ht="34.5" customHeight="1" x14ac:dyDescent="0.25">
      <c r="A3" s="6" t="s">
        <v>88</v>
      </c>
      <c r="B3" s="4"/>
      <c r="C3" s="4"/>
      <c r="D3" s="4"/>
      <c r="F3" s="15"/>
    </row>
    <row r="4" spans="1:10" ht="25.5" customHeight="1" x14ac:dyDescent="0.25">
      <c r="A4" s="3" t="s">
        <v>3</v>
      </c>
      <c r="B4" s="3" t="s">
        <v>21</v>
      </c>
      <c r="C4" s="3" t="s">
        <v>22</v>
      </c>
      <c r="D4" s="3" t="s">
        <v>23</v>
      </c>
      <c r="E4" s="3" t="s">
        <v>222</v>
      </c>
      <c r="F4" s="3" t="s">
        <v>221</v>
      </c>
    </row>
    <row r="5" spans="1:10" ht="25.5" customHeight="1" x14ac:dyDescent="0.25">
      <c r="A5" s="4" t="s">
        <v>241</v>
      </c>
      <c r="B5" s="4" t="s">
        <v>25</v>
      </c>
      <c r="C5" s="5">
        <v>11.2</v>
      </c>
      <c r="D5" s="5">
        <v>210</v>
      </c>
      <c r="E5" s="5">
        <v>88399.5</v>
      </c>
      <c r="F5" s="7">
        <v>15982.75</v>
      </c>
    </row>
    <row r="6" spans="1:10" ht="25.5" customHeight="1" x14ac:dyDescent="0.25">
      <c r="A6" s="4" t="s">
        <v>237</v>
      </c>
      <c r="B6" s="4" t="s">
        <v>25</v>
      </c>
      <c r="C6" s="5"/>
      <c r="D6" s="5"/>
      <c r="E6" s="5"/>
      <c r="F6" s="7">
        <v>65392.46</v>
      </c>
    </row>
    <row r="7" spans="1:10" ht="25.5" customHeight="1" x14ac:dyDescent="0.25">
      <c r="A7" s="4" t="s">
        <v>27</v>
      </c>
      <c r="B7" s="4" t="s">
        <v>30</v>
      </c>
      <c r="C7" s="5">
        <v>11.2</v>
      </c>
      <c r="D7" s="5">
        <v>210</v>
      </c>
      <c r="E7" s="5">
        <v>82000.800000000003</v>
      </c>
      <c r="F7" s="7">
        <v>67227.67</v>
      </c>
    </row>
    <row r="8" spans="1:10" ht="25.5" customHeight="1" x14ac:dyDescent="0.25">
      <c r="A8" s="4" t="s">
        <v>28</v>
      </c>
      <c r="B8" s="4" t="s">
        <v>77</v>
      </c>
      <c r="C8" s="5">
        <v>9.6</v>
      </c>
      <c r="D8" s="5">
        <v>180</v>
      </c>
      <c r="E8" s="5">
        <v>59000.4</v>
      </c>
      <c r="F8" s="7">
        <v>43060.95</v>
      </c>
    </row>
    <row r="9" spans="1:10" ht="25.5" customHeight="1" x14ac:dyDescent="0.25">
      <c r="A9" s="4" t="s">
        <v>29</v>
      </c>
      <c r="B9" s="4" t="s">
        <v>76</v>
      </c>
      <c r="C9" s="5">
        <v>12</v>
      </c>
      <c r="D9" s="5">
        <v>225</v>
      </c>
      <c r="E9" s="5">
        <v>74000.25</v>
      </c>
      <c r="F9" s="7">
        <v>52455.03</v>
      </c>
    </row>
    <row r="10" spans="1:10" ht="25.5" customHeight="1" x14ac:dyDescent="0.25">
      <c r="A10" s="4" t="s">
        <v>63</v>
      </c>
      <c r="B10" s="4" t="s">
        <v>78</v>
      </c>
      <c r="C10" s="5">
        <v>12</v>
      </c>
      <c r="D10" s="5">
        <v>225</v>
      </c>
      <c r="E10" s="5">
        <v>76000.5</v>
      </c>
      <c r="F10" s="7">
        <v>44750.47</v>
      </c>
    </row>
    <row r="11" spans="1:10" ht="25.5" customHeight="1" x14ac:dyDescent="0.25">
      <c r="A11" s="4" t="s">
        <v>34</v>
      </c>
      <c r="B11" s="4" t="s">
        <v>79</v>
      </c>
      <c r="C11" s="5">
        <v>12</v>
      </c>
      <c r="D11" s="5">
        <v>225</v>
      </c>
      <c r="E11" s="5">
        <v>57501</v>
      </c>
      <c r="F11" s="7">
        <v>39463.35</v>
      </c>
    </row>
    <row r="12" spans="1:10" ht="25.5" customHeight="1" x14ac:dyDescent="0.25">
      <c r="A12" s="25" t="s">
        <v>242</v>
      </c>
      <c r="B12" s="25" t="s">
        <v>80</v>
      </c>
      <c r="C12" s="26">
        <v>12</v>
      </c>
      <c r="D12" s="26">
        <v>225</v>
      </c>
      <c r="E12" s="26">
        <v>57501</v>
      </c>
      <c r="F12" s="7">
        <v>3015.68</v>
      </c>
    </row>
    <row r="13" spans="1:10" ht="25.5" customHeight="1" x14ac:dyDescent="0.25">
      <c r="A13" s="4" t="s">
        <v>32</v>
      </c>
      <c r="B13" s="4" t="s">
        <v>81</v>
      </c>
      <c r="C13" s="5">
        <v>12</v>
      </c>
      <c r="D13" s="5">
        <v>225</v>
      </c>
      <c r="E13" s="5">
        <v>60999.75</v>
      </c>
      <c r="F13" s="7">
        <v>16882.36</v>
      </c>
    </row>
    <row r="14" spans="1:10" ht="25.5" customHeight="1" x14ac:dyDescent="0.25">
      <c r="A14" s="4" t="s">
        <v>33</v>
      </c>
      <c r="B14" s="4" t="s">
        <v>82</v>
      </c>
      <c r="C14" s="5">
        <v>7.04</v>
      </c>
      <c r="D14" s="5">
        <v>132</v>
      </c>
      <c r="E14" s="5">
        <v>50000.28</v>
      </c>
      <c r="F14" s="7">
        <v>34941.94</v>
      </c>
    </row>
    <row r="15" spans="1:10" ht="25.5" customHeight="1" x14ac:dyDescent="0.25">
      <c r="A15" s="4" t="s">
        <v>239</v>
      </c>
      <c r="B15" s="4" t="s">
        <v>85</v>
      </c>
      <c r="C15" s="5"/>
      <c r="D15" s="5"/>
      <c r="E15" s="5">
        <v>0</v>
      </c>
      <c r="F15" s="7">
        <v>3879.72</v>
      </c>
    </row>
    <row r="16" spans="1:10" ht="25.5" customHeight="1" x14ac:dyDescent="0.25">
      <c r="A16" s="4" t="s">
        <v>31</v>
      </c>
      <c r="B16" s="4" t="s">
        <v>84</v>
      </c>
      <c r="C16" s="5"/>
      <c r="D16" s="5"/>
      <c r="E16" s="5">
        <v>0</v>
      </c>
      <c r="F16" s="7">
        <v>0</v>
      </c>
    </row>
    <row r="17" spans="1:8" s="20" customFormat="1" ht="30.75" customHeight="1" x14ac:dyDescent="0.25">
      <c r="A17" s="18" t="s">
        <v>31</v>
      </c>
      <c r="B17" s="18" t="s">
        <v>83</v>
      </c>
      <c r="C17" s="19">
        <v>8</v>
      </c>
      <c r="D17" s="19"/>
      <c r="E17" s="19">
        <v>1500</v>
      </c>
      <c r="F17" s="65">
        <v>0</v>
      </c>
      <c r="H17" s="31"/>
    </row>
    <row r="18" spans="1:8" ht="25.5" customHeight="1" x14ac:dyDescent="0.25">
      <c r="A18" s="6" t="s">
        <v>35</v>
      </c>
      <c r="B18" s="6"/>
      <c r="C18" s="7">
        <f>SUM(C5:C17)</f>
        <v>107.04</v>
      </c>
      <c r="D18" s="7">
        <f>SUM(D5:D17)</f>
        <v>1857</v>
      </c>
      <c r="E18" s="7">
        <f>SUM(E5:E17)</f>
        <v>606903.48</v>
      </c>
      <c r="F18" s="7">
        <f>SUM(F5:F17)</f>
        <v>387052.37999999995</v>
      </c>
    </row>
    <row r="19" spans="1:8" ht="25.5" customHeight="1" x14ac:dyDescent="0.25">
      <c r="A19" s="6"/>
      <c r="B19" s="6"/>
      <c r="C19" s="7"/>
      <c r="D19" s="7"/>
      <c r="E19" s="7"/>
      <c r="F19" s="4"/>
    </row>
    <row r="20" spans="1:8" ht="25.5" customHeight="1" x14ac:dyDescent="0.25">
      <c r="A20" s="6" t="s">
        <v>98</v>
      </c>
      <c r="B20" s="6" t="s">
        <v>222</v>
      </c>
      <c r="C20" s="7" t="s">
        <v>221</v>
      </c>
      <c r="D20" s="7"/>
      <c r="E20" s="7"/>
      <c r="F20" s="4"/>
    </row>
    <row r="21" spans="1:8" ht="25.5" customHeight="1" x14ac:dyDescent="0.25">
      <c r="A21" s="4" t="s">
        <v>48</v>
      </c>
      <c r="B21" s="5">
        <v>4400</v>
      </c>
      <c r="C21" s="7">
        <v>2090.6</v>
      </c>
      <c r="D21" s="7"/>
      <c r="E21" s="7"/>
      <c r="F21" s="4"/>
    </row>
    <row r="22" spans="1:8" ht="25.5" customHeight="1" x14ac:dyDescent="0.25">
      <c r="A22" s="4" t="s">
        <v>49</v>
      </c>
      <c r="B22" s="5">
        <v>7000</v>
      </c>
      <c r="C22" s="7">
        <v>525</v>
      </c>
      <c r="D22" s="7"/>
      <c r="E22" s="7"/>
      <c r="F22" s="4"/>
    </row>
    <row r="23" spans="1:8" ht="25.5" customHeight="1" x14ac:dyDescent="0.25">
      <c r="A23" s="4" t="s">
        <v>50</v>
      </c>
      <c r="B23" s="5">
        <v>4500</v>
      </c>
      <c r="C23" s="7">
        <v>5445</v>
      </c>
      <c r="D23" s="7"/>
      <c r="E23" s="7"/>
      <c r="F23" s="4"/>
    </row>
    <row r="24" spans="1:8" ht="25.5" customHeight="1" x14ac:dyDescent="0.25">
      <c r="A24" s="4" t="s">
        <v>220</v>
      </c>
      <c r="B24" s="22">
        <v>27500</v>
      </c>
      <c r="C24" s="7"/>
      <c r="D24" s="7"/>
      <c r="E24" s="7"/>
      <c r="F24" s="4"/>
    </row>
    <row r="25" spans="1:8" ht="25.5" customHeight="1" x14ac:dyDescent="0.25">
      <c r="A25" s="21" t="s">
        <v>218</v>
      </c>
      <c r="B25" s="41">
        <v>25000</v>
      </c>
      <c r="C25" s="7"/>
      <c r="D25" s="7"/>
      <c r="E25" s="7"/>
      <c r="F25" s="4"/>
    </row>
    <row r="26" spans="1:8" ht="25.5" customHeight="1" x14ac:dyDescent="0.25">
      <c r="A26" s="21" t="s">
        <v>219</v>
      </c>
      <c r="B26" s="41">
        <v>7500</v>
      </c>
      <c r="C26" s="7"/>
      <c r="D26" s="7"/>
      <c r="E26" s="7"/>
      <c r="F26" s="4"/>
    </row>
    <row r="27" spans="1:8" ht="25.5" customHeight="1" x14ac:dyDescent="0.25">
      <c r="A27" s="21" t="s">
        <v>214</v>
      </c>
      <c r="B27" s="41">
        <v>15500</v>
      </c>
      <c r="C27" s="7"/>
      <c r="D27" s="7"/>
      <c r="E27" s="7"/>
      <c r="F27" s="4"/>
    </row>
    <row r="28" spans="1:8" ht="25.5" customHeight="1" x14ac:dyDescent="0.25">
      <c r="A28" s="21" t="s">
        <v>210</v>
      </c>
      <c r="B28" s="41">
        <v>3100</v>
      </c>
      <c r="C28" s="7"/>
      <c r="D28" s="7"/>
      <c r="E28" s="7"/>
      <c r="F28" s="4"/>
    </row>
    <row r="29" spans="1:8" ht="25.5" customHeight="1" x14ac:dyDescent="0.25">
      <c r="A29" s="21" t="s">
        <v>211</v>
      </c>
      <c r="B29" s="41">
        <v>12000</v>
      </c>
      <c r="C29" s="7"/>
      <c r="D29" s="7"/>
      <c r="E29" s="7"/>
      <c r="F29" s="4"/>
    </row>
    <row r="30" spans="1:8" ht="25.5" customHeight="1" x14ac:dyDescent="0.25">
      <c r="A30" s="21" t="s">
        <v>215</v>
      </c>
      <c r="B30" s="41">
        <v>73000</v>
      </c>
      <c r="C30" s="7"/>
      <c r="D30" s="7"/>
      <c r="E30" s="7"/>
      <c r="F30" s="4"/>
    </row>
    <row r="31" spans="1:8" ht="25.5" customHeight="1" x14ac:dyDescent="0.25">
      <c r="A31" s="21" t="s">
        <v>216</v>
      </c>
      <c r="B31" s="41">
        <v>18000</v>
      </c>
      <c r="C31" s="7"/>
      <c r="D31" s="7"/>
      <c r="E31" s="7"/>
      <c r="F31" s="4"/>
    </row>
    <row r="32" spans="1:8" ht="25.5" customHeight="1" x14ac:dyDescent="0.25">
      <c r="A32" s="4" t="s">
        <v>45</v>
      </c>
      <c r="B32" s="5">
        <v>24000</v>
      </c>
      <c r="C32" s="7"/>
      <c r="D32" s="7"/>
      <c r="E32" s="7"/>
      <c r="F32" s="4"/>
    </row>
    <row r="33" spans="1:8" ht="25.5" customHeight="1" x14ac:dyDescent="0.25">
      <c r="A33" s="25" t="s">
        <v>47</v>
      </c>
      <c r="B33" s="26">
        <v>45000</v>
      </c>
      <c r="C33" s="7"/>
      <c r="D33" s="7"/>
      <c r="E33" s="7"/>
      <c r="F33" s="4"/>
    </row>
    <row r="34" spans="1:8" ht="25.5" customHeight="1" x14ac:dyDescent="0.25">
      <c r="A34" s="21"/>
      <c r="B34" s="7">
        <f>SUM(B21:B33)</f>
        <v>266500</v>
      </c>
      <c r="C34" s="7">
        <f>SUM(C21:C33)</f>
        <v>8060.6</v>
      </c>
      <c r="D34" s="7"/>
      <c r="E34" s="7"/>
      <c r="F34" s="4"/>
    </row>
    <row r="35" spans="1:8" ht="25.5" customHeight="1" x14ac:dyDescent="0.25">
      <c r="A35" s="3" t="s">
        <v>36</v>
      </c>
      <c r="B35" s="3"/>
      <c r="C35" s="3"/>
      <c r="E35" s="3"/>
      <c r="F35" s="3"/>
      <c r="G35" s="3"/>
      <c r="H35" s="3"/>
    </row>
    <row r="36" spans="1:8" ht="25.5" customHeight="1" x14ac:dyDescent="0.25">
      <c r="A36" s="3" t="s">
        <v>3</v>
      </c>
      <c r="B36" s="3" t="s">
        <v>39</v>
      </c>
      <c r="C36" s="3" t="s">
        <v>10</v>
      </c>
      <c r="D36" s="34" t="s">
        <v>11</v>
      </c>
      <c r="E36" s="3" t="s">
        <v>89</v>
      </c>
      <c r="F36" s="3" t="s">
        <v>24</v>
      </c>
      <c r="G36" s="3" t="s">
        <v>26</v>
      </c>
      <c r="H36" s="3"/>
    </row>
    <row r="37" spans="1:8" ht="27.75" customHeight="1" x14ac:dyDescent="0.25">
      <c r="A37" s="25" t="s">
        <v>248</v>
      </c>
      <c r="B37" s="36">
        <v>7</v>
      </c>
      <c r="C37" s="26">
        <f>220*7</f>
        <v>1540</v>
      </c>
      <c r="D37" s="47">
        <v>1575</v>
      </c>
      <c r="E37" s="47">
        <v>787.5</v>
      </c>
      <c r="F37" s="26">
        <f>SUM(C37:E37)</f>
        <v>3902.5</v>
      </c>
      <c r="G37" s="25" t="s">
        <v>40</v>
      </c>
      <c r="H37" s="25"/>
    </row>
    <row r="38" spans="1:8" ht="27.75" customHeight="1" x14ac:dyDescent="0.25">
      <c r="A38" s="6" t="s">
        <v>247</v>
      </c>
      <c r="B38" s="63">
        <v>0</v>
      </c>
      <c r="C38" s="7">
        <v>756.97</v>
      </c>
      <c r="D38" s="64">
        <v>295</v>
      </c>
      <c r="E38" s="64">
        <v>0</v>
      </c>
      <c r="F38" s="7">
        <f>SUM(C38:E38)</f>
        <v>1051.97</v>
      </c>
      <c r="G38" s="25"/>
      <c r="H38" s="25"/>
    </row>
    <row r="39" spans="1:8" ht="54" customHeight="1" x14ac:dyDescent="0.25">
      <c r="A39" s="25" t="s">
        <v>64</v>
      </c>
      <c r="B39" s="35"/>
      <c r="C39" s="35">
        <v>0</v>
      </c>
      <c r="D39" s="35">
        <v>0</v>
      </c>
      <c r="E39" s="35">
        <v>0</v>
      </c>
      <c r="F39" s="26">
        <f t="shared" ref="F39:F51" si="0">SUM(C39:E39)</f>
        <v>0</v>
      </c>
      <c r="G39" s="27" t="s">
        <v>65</v>
      </c>
      <c r="H39" s="27"/>
    </row>
    <row r="40" spans="1:8" ht="25.5" customHeight="1" x14ac:dyDescent="0.25">
      <c r="A40" s="25" t="s">
        <v>223</v>
      </c>
      <c r="B40" s="25">
        <v>33</v>
      </c>
      <c r="C40" s="26">
        <v>7260</v>
      </c>
      <c r="D40" s="26">
        <v>8910</v>
      </c>
      <c r="E40" s="26">
        <v>1980</v>
      </c>
      <c r="F40" s="26">
        <f t="shared" si="0"/>
        <v>18150</v>
      </c>
      <c r="G40" s="25" t="s">
        <v>68</v>
      </c>
      <c r="H40" s="25"/>
    </row>
    <row r="41" spans="1:8" ht="25.5" customHeight="1" x14ac:dyDescent="0.25">
      <c r="A41" s="6" t="s">
        <v>224</v>
      </c>
      <c r="B41" s="6">
        <v>0</v>
      </c>
      <c r="C41" s="7">
        <v>0</v>
      </c>
      <c r="D41" s="7">
        <v>0</v>
      </c>
      <c r="E41" s="7">
        <v>0</v>
      </c>
      <c r="F41" s="7">
        <f t="shared" ref="F41" si="1">SUM(C41:E41)</f>
        <v>0</v>
      </c>
      <c r="G41" s="25"/>
      <c r="H41" s="25"/>
    </row>
    <row r="42" spans="1:8" s="1" customFormat="1" ht="25.5" customHeight="1" x14ac:dyDescent="0.25">
      <c r="A42" s="25" t="s">
        <v>225</v>
      </c>
      <c r="B42" s="25">
        <v>33</v>
      </c>
      <c r="C42" s="26">
        <v>7260</v>
      </c>
      <c r="D42" s="26">
        <v>8910</v>
      </c>
      <c r="E42" s="26">
        <v>1980</v>
      </c>
      <c r="F42" s="26">
        <f t="shared" si="0"/>
        <v>18150</v>
      </c>
      <c r="G42" s="25" t="s">
        <v>68</v>
      </c>
      <c r="H42" s="25"/>
    </row>
    <row r="43" spans="1:8" s="1" customFormat="1" ht="25.5" customHeight="1" x14ac:dyDescent="0.25">
      <c r="A43" s="6" t="s">
        <v>226</v>
      </c>
      <c r="B43" s="6">
        <v>0</v>
      </c>
      <c r="C43" s="7">
        <v>0</v>
      </c>
      <c r="D43" s="7">
        <v>0</v>
      </c>
      <c r="E43" s="7">
        <v>0</v>
      </c>
      <c r="F43" s="7">
        <f t="shared" ref="F43" si="2">SUM(C43:E43)</f>
        <v>0</v>
      </c>
      <c r="G43" s="25"/>
      <c r="H43" s="25"/>
    </row>
    <row r="44" spans="1:8" ht="45" customHeight="1" x14ac:dyDescent="0.25">
      <c r="A44" s="25" t="s">
        <v>69</v>
      </c>
      <c r="B44" s="25"/>
      <c r="C44" s="26">
        <v>0</v>
      </c>
      <c r="D44" s="26">
        <v>0</v>
      </c>
      <c r="E44" s="26">
        <v>0</v>
      </c>
      <c r="F44" s="26">
        <f t="shared" si="0"/>
        <v>0</v>
      </c>
      <c r="G44" s="27" t="s">
        <v>70</v>
      </c>
      <c r="H44" s="27"/>
    </row>
    <row r="45" spans="1:8" ht="25.5" customHeight="1" x14ac:dyDescent="0.25">
      <c r="A45" s="25" t="s">
        <v>228</v>
      </c>
      <c r="B45" s="25">
        <v>30</v>
      </c>
      <c r="C45" s="26">
        <v>6600</v>
      </c>
      <c r="D45" s="26">
        <v>8100</v>
      </c>
      <c r="E45" s="26">
        <v>1800</v>
      </c>
      <c r="F45" s="26">
        <f t="shared" si="0"/>
        <v>16500</v>
      </c>
      <c r="G45" s="25" t="s">
        <v>68</v>
      </c>
      <c r="H45" s="25"/>
    </row>
    <row r="46" spans="1:8" ht="25.5" customHeight="1" x14ac:dyDescent="0.25">
      <c r="A46" s="6" t="s">
        <v>227</v>
      </c>
      <c r="B46" s="6">
        <v>0</v>
      </c>
      <c r="C46" s="7">
        <v>0</v>
      </c>
      <c r="D46" s="7">
        <v>0</v>
      </c>
      <c r="E46" s="7">
        <v>0</v>
      </c>
      <c r="F46" s="7">
        <f t="shared" si="0"/>
        <v>0</v>
      </c>
      <c r="G46" s="25"/>
      <c r="H46" s="25"/>
    </row>
    <row r="47" spans="1:8" ht="25.5" customHeight="1" x14ac:dyDescent="0.25">
      <c r="A47" s="25" t="s">
        <v>229</v>
      </c>
      <c r="B47" s="25">
        <v>30</v>
      </c>
      <c r="C47" s="26">
        <v>6600</v>
      </c>
      <c r="D47" s="26">
        <v>8100</v>
      </c>
      <c r="E47" s="26">
        <v>1800</v>
      </c>
      <c r="F47" s="26">
        <f t="shared" si="0"/>
        <v>16500</v>
      </c>
      <c r="G47" s="25" t="s">
        <v>68</v>
      </c>
      <c r="H47" s="25"/>
    </row>
    <row r="48" spans="1:8" s="14" customFormat="1" ht="25.5" customHeight="1" x14ac:dyDescent="0.25">
      <c r="A48" s="6" t="s">
        <v>230</v>
      </c>
      <c r="B48" s="6">
        <v>0</v>
      </c>
      <c r="C48" s="7">
        <v>0</v>
      </c>
      <c r="D48" s="7">
        <v>0</v>
      </c>
      <c r="E48" s="7">
        <v>0</v>
      </c>
      <c r="F48" s="7">
        <f t="shared" ref="F48" si="3">SUM(C48:E48)</f>
        <v>0</v>
      </c>
      <c r="G48" s="28"/>
      <c r="H48" s="28"/>
    </row>
    <row r="49" spans="1:8" ht="25.5" customHeight="1" x14ac:dyDescent="0.25">
      <c r="A49" s="25" t="s">
        <v>231</v>
      </c>
      <c r="B49" s="25">
        <v>8</v>
      </c>
      <c r="C49" s="26">
        <v>1760</v>
      </c>
      <c r="D49" s="26">
        <v>1440</v>
      </c>
      <c r="E49" s="26">
        <v>320</v>
      </c>
      <c r="F49" s="26">
        <f t="shared" si="0"/>
        <v>3520</v>
      </c>
      <c r="G49" s="25" t="s">
        <v>87</v>
      </c>
      <c r="H49" s="25"/>
    </row>
    <row r="50" spans="1:8" ht="25.5" customHeight="1" x14ac:dyDescent="0.25">
      <c r="A50" s="6" t="s">
        <v>232</v>
      </c>
      <c r="B50" s="6">
        <v>4</v>
      </c>
      <c r="C50" s="7">
        <v>1223.73</v>
      </c>
      <c r="D50" s="7">
        <v>584.48</v>
      </c>
      <c r="E50" s="7">
        <v>173.34</v>
      </c>
      <c r="F50" s="7">
        <f t="shared" ref="F50" si="4">SUM(C50:E50)</f>
        <v>1981.55</v>
      </c>
      <c r="G50" s="25"/>
      <c r="H50" s="25"/>
    </row>
    <row r="51" spans="1:8" s="24" customFormat="1" ht="90" x14ac:dyDescent="0.25">
      <c r="A51" s="21" t="s">
        <v>38</v>
      </c>
      <c r="B51" s="21">
        <v>120</v>
      </c>
      <c r="C51" s="22">
        <v>26400</v>
      </c>
      <c r="D51" s="22">
        <v>21600</v>
      </c>
      <c r="E51" s="22">
        <v>4800</v>
      </c>
      <c r="F51" s="26">
        <f t="shared" si="0"/>
        <v>52800</v>
      </c>
      <c r="G51" s="23" t="s">
        <v>71</v>
      </c>
      <c r="H51" s="23"/>
    </row>
    <row r="52" spans="1:8" s="24" customFormat="1" ht="22.5" customHeight="1" x14ac:dyDescent="0.25">
      <c r="A52" s="16" t="s">
        <v>38</v>
      </c>
      <c r="B52" s="16">
        <v>0</v>
      </c>
      <c r="C52" s="65">
        <v>0</v>
      </c>
      <c r="D52" s="65">
        <v>0</v>
      </c>
      <c r="E52" s="65">
        <v>0</v>
      </c>
      <c r="F52" s="7">
        <f t="shared" ref="F52" si="5">SUM(C52:E52)</f>
        <v>0</v>
      </c>
      <c r="G52" s="23"/>
      <c r="H52" s="23"/>
    </row>
    <row r="53" spans="1:8" ht="25.5" customHeight="1" x14ac:dyDescent="0.25">
      <c r="A53" s="4" t="s">
        <v>233</v>
      </c>
      <c r="B53" s="5">
        <f>B37+B39+B40+B42+B44+B45+B47+B49+B51</f>
        <v>261</v>
      </c>
      <c r="C53" s="5">
        <f t="shared" ref="C53:F53" si="6">C37+C39+C40+C42+C44+C45+C47+C49+C51</f>
        <v>57420</v>
      </c>
      <c r="D53" s="5">
        <f t="shared" si="6"/>
        <v>58635</v>
      </c>
      <c r="E53" s="5">
        <f t="shared" si="6"/>
        <v>13467.5</v>
      </c>
      <c r="F53" s="5">
        <f t="shared" si="6"/>
        <v>129522.5</v>
      </c>
      <c r="G53" s="4"/>
      <c r="H53" s="4"/>
    </row>
    <row r="54" spans="1:8" ht="25.5" customHeight="1" x14ac:dyDescent="0.25">
      <c r="A54" s="6" t="s">
        <v>233</v>
      </c>
      <c r="B54" s="7">
        <f>B38+B41+B43+B46+B48+B50+B52</f>
        <v>4</v>
      </c>
      <c r="C54" s="7">
        <f t="shared" ref="C54:F54" si="7">C38+C41+C43+C46+C48+C50+C52</f>
        <v>1980.7</v>
      </c>
      <c r="D54" s="7">
        <f t="shared" si="7"/>
        <v>879.48</v>
      </c>
      <c r="E54" s="7">
        <f t="shared" si="7"/>
        <v>173.34</v>
      </c>
      <c r="F54" s="7">
        <f t="shared" si="7"/>
        <v>3033.52</v>
      </c>
      <c r="G54" s="4"/>
      <c r="H54" s="4"/>
    </row>
    <row r="55" spans="1:8" ht="25.5" customHeight="1" x14ac:dyDescent="0.25">
      <c r="A55" s="4"/>
      <c r="B55" s="4"/>
      <c r="C55" s="5"/>
      <c r="D55" s="5"/>
      <c r="E55" s="5"/>
      <c r="F55" s="5"/>
      <c r="G55" s="5"/>
      <c r="H55" s="5"/>
    </row>
    <row r="56" spans="1:8" ht="25.5" customHeight="1" x14ac:dyDescent="0.25">
      <c r="A56" s="6" t="s">
        <v>13</v>
      </c>
      <c r="B56" s="6" t="s">
        <v>222</v>
      </c>
      <c r="C56" s="7" t="s">
        <v>221</v>
      </c>
      <c r="D56" s="5"/>
      <c r="E56" s="5"/>
      <c r="F56" s="5"/>
      <c r="G56" s="5"/>
      <c r="H56" s="5"/>
    </row>
    <row r="57" spans="1:8" ht="25.5" customHeight="1" x14ac:dyDescent="0.25">
      <c r="A57" s="25" t="s">
        <v>90</v>
      </c>
      <c r="B57" s="5">
        <v>600</v>
      </c>
      <c r="C57" s="7"/>
      <c r="D57" s="5"/>
      <c r="E57" s="5"/>
      <c r="F57" s="5"/>
      <c r="G57" s="5"/>
      <c r="H57" s="5"/>
    </row>
    <row r="58" spans="1:8" ht="25.5" customHeight="1" x14ac:dyDescent="0.25">
      <c r="A58" s="27" t="s">
        <v>91</v>
      </c>
      <c r="B58" s="5">
        <v>3750</v>
      </c>
      <c r="C58" s="7"/>
      <c r="D58" s="5"/>
      <c r="E58" s="5"/>
      <c r="F58" s="5"/>
      <c r="G58" s="5"/>
      <c r="H58" s="5"/>
    </row>
    <row r="59" spans="1:8" ht="34.5" customHeight="1" x14ac:dyDescent="0.25">
      <c r="A59" s="27" t="s">
        <v>92</v>
      </c>
      <c r="B59" s="5">
        <v>2750</v>
      </c>
      <c r="C59" s="7"/>
      <c r="D59" s="5"/>
      <c r="E59" s="5"/>
      <c r="F59" s="5"/>
      <c r="G59" s="5"/>
      <c r="H59" s="5"/>
    </row>
    <row r="60" spans="1:8" ht="30" customHeight="1" x14ac:dyDescent="0.25">
      <c r="A60" s="23" t="s">
        <v>93</v>
      </c>
      <c r="B60" s="5">
        <v>3500</v>
      </c>
      <c r="C60" s="7"/>
      <c r="D60" s="5"/>
      <c r="E60" s="5"/>
      <c r="F60" s="5"/>
      <c r="G60" s="5"/>
      <c r="H60" s="5"/>
    </row>
    <row r="61" spans="1:8" ht="25.5" customHeight="1" x14ac:dyDescent="0.25">
      <c r="A61" s="21" t="s">
        <v>94</v>
      </c>
      <c r="B61" s="22">
        <v>3200</v>
      </c>
      <c r="C61" s="7">
        <f>777.9+1300</f>
        <v>2077.9</v>
      </c>
      <c r="D61" s="5"/>
      <c r="E61" s="5"/>
      <c r="F61" s="5"/>
      <c r="G61" s="5"/>
      <c r="H61" s="5"/>
    </row>
    <row r="62" spans="1:8" ht="25.5" customHeight="1" x14ac:dyDescent="0.25">
      <c r="A62" s="4" t="s">
        <v>96</v>
      </c>
      <c r="B62" s="5">
        <v>500</v>
      </c>
      <c r="C62" s="7">
        <v>802.79</v>
      </c>
      <c r="D62" s="5"/>
      <c r="E62" s="5"/>
      <c r="F62" s="5"/>
      <c r="G62" s="5"/>
      <c r="H62" s="5"/>
    </row>
    <row r="63" spans="1:8" ht="25.5" customHeight="1" x14ac:dyDescent="0.25">
      <c r="A63" s="4" t="s">
        <v>97</v>
      </c>
      <c r="B63" s="5">
        <v>2800</v>
      </c>
      <c r="C63" s="7"/>
      <c r="D63" s="5"/>
      <c r="E63" s="5"/>
      <c r="F63" s="5"/>
      <c r="G63" s="5"/>
      <c r="H63" s="5"/>
    </row>
    <row r="64" spans="1:8" ht="25.5" customHeight="1" x14ac:dyDescent="0.25">
      <c r="A64" s="4" t="s">
        <v>95</v>
      </c>
      <c r="B64" s="5">
        <v>1000</v>
      </c>
      <c r="C64" s="7">
        <v>1073.79</v>
      </c>
      <c r="D64" s="5"/>
      <c r="E64" s="5"/>
      <c r="F64" s="5"/>
      <c r="G64" s="5"/>
      <c r="H64" s="5"/>
    </row>
    <row r="65" spans="1:8" ht="25.5" customHeight="1" x14ac:dyDescent="0.25">
      <c r="A65" s="21"/>
      <c r="B65" s="7">
        <f>SUM(B57:B64)</f>
        <v>18100</v>
      </c>
      <c r="C65" s="7">
        <f>SUM(C57:C64)</f>
        <v>3954.48</v>
      </c>
      <c r="D65" s="5"/>
      <c r="E65" s="5"/>
      <c r="F65" s="5"/>
      <c r="G65" s="5"/>
      <c r="H65" s="5"/>
    </row>
    <row r="66" spans="1:8" ht="25.5" customHeight="1" x14ac:dyDescent="0.25">
      <c r="A66" s="21"/>
      <c r="B66" s="5"/>
      <c r="C66" s="5"/>
      <c r="D66" s="5"/>
      <c r="E66" s="5"/>
      <c r="F66" s="5"/>
      <c r="G66" s="5"/>
      <c r="H66" s="5"/>
    </row>
    <row r="67" spans="1:8" ht="25.5" customHeight="1" x14ac:dyDescent="0.25">
      <c r="A67" s="6" t="s">
        <v>14</v>
      </c>
      <c r="B67" s="6" t="s">
        <v>234</v>
      </c>
      <c r="C67" s="6" t="s">
        <v>221</v>
      </c>
      <c r="D67" s="4"/>
    </row>
    <row r="68" spans="1:8" ht="25.5" customHeight="1" x14ac:dyDescent="0.25">
      <c r="A68" s="25" t="s">
        <v>110</v>
      </c>
      <c r="B68" s="26">
        <v>4455</v>
      </c>
      <c r="C68" s="7"/>
      <c r="D68" s="4"/>
    </row>
    <row r="69" spans="1:8" ht="25.5" customHeight="1" x14ac:dyDescent="0.25">
      <c r="A69" s="25" t="s">
        <v>111</v>
      </c>
      <c r="B69" s="26">
        <v>4455</v>
      </c>
      <c r="C69" s="7"/>
      <c r="D69" s="4"/>
    </row>
    <row r="70" spans="1:8" ht="25.5" customHeight="1" x14ac:dyDescent="0.25">
      <c r="A70" s="25" t="s">
        <v>240</v>
      </c>
      <c r="B70" s="26"/>
      <c r="C70" s="7">
        <v>413.4</v>
      </c>
      <c r="D70" s="4"/>
    </row>
    <row r="71" spans="1:8" ht="25.5" customHeight="1" x14ac:dyDescent="0.25">
      <c r="A71" s="25" t="s">
        <v>112</v>
      </c>
      <c r="B71" s="26">
        <v>4050</v>
      </c>
      <c r="C71" s="7"/>
      <c r="D71" s="4"/>
    </row>
    <row r="72" spans="1:8" ht="25.5" customHeight="1" x14ac:dyDescent="0.25">
      <c r="A72" s="25" t="s">
        <v>113</v>
      </c>
      <c r="B72" s="26">
        <v>4050</v>
      </c>
      <c r="C72" s="7"/>
      <c r="D72" s="4"/>
    </row>
    <row r="73" spans="1:8" ht="25.5" customHeight="1" x14ac:dyDescent="0.25">
      <c r="A73" s="25" t="s">
        <v>114</v>
      </c>
      <c r="B73" s="26">
        <v>400</v>
      </c>
      <c r="C73" s="7">
        <v>150</v>
      </c>
      <c r="D73" s="4"/>
    </row>
    <row r="74" spans="1:8" ht="25.5" customHeight="1" x14ac:dyDescent="0.25">
      <c r="A74" s="21" t="s">
        <v>115</v>
      </c>
      <c r="B74" s="22">
        <v>7200</v>
      </c>
      <c r="C74" s="7"/>
      <c r="D74" s="4"/>
    </row>
    <row r="75" spans="1:8" ht="25.5" customHeight="1" x14ac:dyDescent="0.25">
      <c r="A75" s="25" t="s">
        <v>99</v>
      </c>
      <c r="B75" s="26">
        <v>2850</v>
      </c>
      <c r="C75" s="7">
        <v>2758.8</v>
      </c>
      <c r="D75" s="4"/>
    </row>
    <row r="76" spans="1:8" ht="37.5" customHeight="1" x14ac:dyDescent="0.25">
      <c r="A76" s="27" t="s">
        <v>100</v>
      </c>
      <c r="B76" s="26">
        <v>3600</v>
      </c>
      <c r="C76" s="7">
        <f>4327.67+1869</f>
        <v>6196.67</v>
      </c>
      <c r="D76" s="4"/>
    </row>
    <row r="77" spans="1:8" ht="34.5" customHeight="1" x14ac:dyDescent="0.25">
      <c r="A77" s="27" t="s">
        <v>243</v>
      </c>
      <c r="B77" s="26">
        <v>3600</v>
      </c>
      <c r="C77" s="7">
        <v>1112.5999999999999</v>
      </c>
      <c r="D77" s="4"/>
    </row>
    <row r="78" spans="1:8" ht="33.75" customHeight="1" x14ac:dyDescent="0.25">
      <c r="A78" s="27" t="s">
        <v>102</v>
      </c>
      <c r="B78" s="26">
        <v>3600</v>
      </c>
      <c r="C78" s="7"/>
      <c r="D78" s="4"/>
    </row>
    <row r="79" spans="1:8" ht="30" customHeight="1" x14ac:dyDescent="0.25">
      <c r="A79" s="27" t="s">
        <v>244</v>
      </c>
      <c r="B79" s="26">
        <v>2700</v>
      </c>
      <c r="C79" s="7">
        <f>2630.49+78.5</f>
        <v>2708.99</v>
      </c>
      <c r="D79" s="4"/>
    </row>
    <row r="80" spans="1:8" ht="30" customHeight="1" x14ac:dyDescent="0.25">
      <c r="A80" s="27" t="s">
        <v>245</v>
      </c>
      <c r="B80" s="26"/>
      <c r="C80" s="7">
        <v>1294.0999999999999</v>
      </c>
      <c r="D80" s="4"/>
    </row>
    <row r="81" spans="1:5" ht="30" customHeight="1" x14ac:dyDescent="0.25">
      <c r="A81" s="27" t="s">
        <v>238</v>
      </c>
      <c r="B81" s="26">
        <v>0</v>
      </c>
      <c r="C81" s="7">
        <v>1705.34</v>
      </c>
      <c r="D81" s="4"/>
    </row>
    <row r="82" spans="1:5" ht="25.5" customHeight="1" x14ac:dyDescent="0.25">
      <c r="A82" s="25" t="s">
        <v>104</v>
      </c>
      <c r="B82" s="26">
        <v>1600</v>
      </c>
      <c r="C82" s="7"/>
      <c r="D82" s="4"/>
    </row>
    <row r="83" spans="1:5" ht="27.75" customHeight="1" x14ac:dyDescent="0.25">
      <c r="A83" s="27" t="s">
        <v>105</v>
      </c>
      <c r="B83" s="26">
        <v>1600</v>
      </c>
      <c r="C83" s="7"/>
      <c r="D83" s="4"/>
    </row>
    <row r="84" spans="1:5" ht="25.5" customHeight="1" x14ac:dyDescent="0.25">
      <c r="A84" s="25" t="s">
        <v>106</v>
      </c>
      <c r="B84" s="26">
        <v>5400</v>
      </c>
      <c r="C84" s="7"/>
      <c r="D84" s="4"/>
    </row>
    <row r="85" spans="1:5" ht="32.25" customHeight="1" x14ac:dyDescent="0.25">
      <c r="A85" s="27" t="s">
        <v>107</v>
      </c>
      <c r="B85" s="26">
        <v>900</v>
      </c>
      <c r="C85" s="7"/>
      <c r="D85" s="4"/>
    </row>
    <row r="86" spans="1:5" ht="25.5" customHeight="1" x14ac:dyDescent="0.25">
      <c r="A86" s="25" t="s">
        <v>108</v>
      </c>
      <c r="B86" s="26">
        <v>150</v>
      </c>
      <c r="C86" s="7"/>
      <c r="D86" s="4"/>
    </row>
    <row r="87" spans="1:5" ht="25.5" customHeight="1" x14ac:dyDescent="0.25">
      <c r="A87" s="21" t="s">
        <v>109</v>
      </c>
      <c r="B87" s="22">
        <v>6000</v>
      </c>
      <c r="C87" s="65">
        <v>2353.4</v>
      </c>
      <c r="D87" s="4"/>
    </row>
    <row r="88" spans="1:5" s="30" customFormat="1" ht="25.5" customHeight="1" x14ac:dyDescent="0.25">
      <c r="A88" s="28" t="s">
        <v>41</v>
      </c>
      <c r="B88" s="29">
        <v>750</v>
      </c>
      <c r="C88" s="66"/>
      <c r="D88" s="28"/>
    </row>
    <row r="89" spans="1:5" ht="25.5" customHeight="1" x14ac:dyDescent="0.25">
      <c r="A89" s="4" t="s">
        <v>42</v>
      </c>
      <c r="B89" s="5">
        <v>5000</v>
      </c>
      <c r="C89" s="7">
        <v>2962.69</v>
      </c>
      <c r="D89" s="4"/>
    </row>
    <row r="90" spans="1:5" ht="25.5" customHeight="1" x14ac:dyDescent="0.25">
      <c r="A90" s="4" t="s">
        <v>62</v>
      </c>
      <c r="B90" s="5">
        <v>2800</v>
      </c>
      <c r="C90" s="7"/>
      <c r="D90" s="4"/>
    </row>
    <row r="91" spans="1:5" s="20" customFormat="1" ht="25.5" customHeight="1" x14ac:dyDescent="0.25">
      <c r="A91" s="18" t="s">
        <v>43</v>
      </c>
      <c r="B91" s="19">
        <v>4000</v>
      </c>
      <c r="C91" s="65"/>
      <c r="D91" s="18"/>
    </row>
    <row r="92" spans="1:5" ht="25.5" customHeight="1" x14ac:dyDescent="0.25">
      <c r="A92" s="4" t="s">
        <v>44</v>
      </c>
      <c r="B92" s="5">
        <v>1000</v>
      </c>
      <c r="C92" s="7"/>
      <c r="D92" s="4"/>
    </row>
    <row r="93" spans="1:5" ht="25.5" customHeight="1" x14ac:dyDescent="0.25">
      <c r="A93" s="4" t="s">
        <v>46</v>
      </c>
      <c r="B93" s="5">
        <v>2200</v>
      </c>
      <c r="C93" s="7"/>
      <c r="D93" s="4"/>
    </row>
    <row r="94" spans="1:5" ht="25.5" customHeight="1" x14ac:dyDescent="0.25">
      <c r="A94" s="4" t="s">
        <v>51</v>
      </c>
      <c r="B94" s="5">
        <v>65000</v>
      </c>
      <c r="C94" s="7">
        <f>41814.98</f>
        <v>41814.980000000003</v>
      </c>
      <c r="D94" s="4"/>
      <c r="E94" s="4"/>
    </row>
    <row r="95" spans="1:5" ht="25.5" customHeight="1" x14ac:dyDescent="0.25">
      <c r="A95" s="4" t="s">
        <v>52</v>
      </c>
      <c r="B95" s="5">
        <v>400</v>
      </c>
      <c r="C95" s="7"/>
      <c r="D95" s="4"/>
      <c r="E95" s="4"/>
    </row>
    <row r="96" spans="1:5" ht="25.5" customHeight="1" x14ac:dyDescent="0.25">
      <c r="A96" s="4" t="s">
        <v>53</v>
      </c>
      <c r="B96" s="5">
        <v>6000</v>
      </c>
      <c r="C96" s="7">
        <v>6162.13</v>
      </c>
      <c r="D96" s="4"/>
      <c r="E96" s="4"/>
    </row>
    <row r="97" spans="1:6" ht="25.5" customHeight="1" x14ac:dyDescent="0.25">
      <c r="A97" s="4" t="s">
        <v>54</v>
      </c>
      <c r="B97" s="5">
        <v>1400</v>
      </c>
      <c r="C97" s="7"/>
      <c r="D97" s="4"/>
      <c r="E97" s="4"/>
    </row>
    <row r="98" spans="1:6" ht="25.5" customHeight="1" x14ac:dyDescent="0.25">
      <c r="A98" s="4" t="s">
        <v>55</v>
      </c>
      <c r="B98" s="5">
        <v>5000</v>
      </c>
      <c r="C98" s="7">
        <v>4264.3599999999997</v>
      </c>
      <c r="D98" s="4"/>
      <c r="E98" s="4"/>
    </row>
    <row r="99" spans="1:6" ht="25.5" customHeight="1" x14ac:dyDescent="0.25">
      <c r="A99" s="4" t="s">
        <v>56</v>
      </c>
      <c r="B99" s="5">
        <v>6300</v>
      </c>
      <c r="C99" s="7">
        <v>3266.58</v>
      </c>
      <c r="D99" s="4"/>
      <c r="E99" s="4"/>
    </row>
    <row r="100" spans="1:6" ht="25.5" customHeight="1" x14ac:dyDescent="0.25">
      <c r="A100" s="4" t="s">
        <v>57</v>
      </c>
      <c r="B100" s="5">
        <v>250</v>
      </c>
      <c r="C100" s="7">
        <v>124.71</v>
      </c>
      <c r="D100" s="4"/>
      <c r="E100" s="4"/>
    </row>
    <row r="101" spans="1:6" s="17" customFormat="1" ht="25.5" customHeight="1" x14ac:dyDescent="0.25">
      <c r="A101" s="21" t="s">
        <v>58</v>
      </c>
      <c r="B101" s="22">
        <v>4000</v>
      </c>
      <c r="C101" s="65">
        <v>3868.67</v>
      </c>
      <c r="D101" s="16"/>
      <c r="E101" s="16"/>
    </row>
    <row r="102" spans="1:6" ht="25.5" customHeight="1" x14ac:dyDescent="0.25">
      <c r="A102" s="4" t="s">
        <v>59</v>
      </c>
      <c r="B102" s="5">
        <v>2500</v>
      </c>
      <c r="C102" s="7">
        <f>501.29+59.05+829.35+108.41+885.21+386.7</f>
        <v>2770.01</v>
      </c>
      <c r="D102" s="4"/>
      <c r="E102" s="4"/>
    </row>
    <row r="103" spans="1:6" ht="25.5" customHeight="1" x14ac:dyDescent="0.25">
      <c r="A103" s="4" t="s">
        <v>60</v>
      </c>
      <c r="B103" s="5">
        <v>480</v>
      </c>
      <c r="C103" s="7">
        <v>181.31</v>
      </c>
      <c r="D103" s="4"/>
      <c r="E103" s="4"/>
    </row>
    <row r="104" spans="1:6" ht="25.5" customHeight="1" x14ac:dyDescent="0.25">
      <c r="A104" s="4" t="s">
        <v>235</v>
      </c>
      <c r="B104" s="7">
        <f>SUM(B68:B103)</f>
        <v>163690</v>
      </c>
      <c r="C104" s="7">
        <f>SUM(C68:C103)</f>
        <v>84108.74</v>
      </c>
      <c r="D104" s="4"/>
      <c r="E104" s="4"/>
    </row>
    <row r="105" spans="1:6" ht="25.5" customHeight="1" x14ac:dyDescent="0.25">
      <c r="A105" s="8"/>
      <c r="B105" s="9" t="s">
        <v>234</v>
      </c>
      <c r="C105" s="10" t="s">
        <v>221</v>
      </c>
      <c r="D105" s="9">
        <f>B106*0.9</f>
        <v>1066244.382</v>
      </c>
      <c r="E105" s="10" t="s">
        <v>72</v>
      </c>
    </row>
    <row r="106" spans="1:6" ht="25.5" customHeight="1" x14ac:dyDescent="0.25">
      <c r="A106" s="11" t="s">
        <v>61</v>
      </c>
      <c r="B106" s="12">
        <f>E18+B34+F53+B65+B104</f>
        <v>1184715.98</v>
      </c>
      <c r="C106" s="12">
        <f>F18+C34+F54+C65+C104</f>
        <v>486209.71999999991</v>
      </c>
      <c r="D106" s="9">
        <f>B106*0.1</f>
        <v>118471.598</v>
      </c>
      <c r="E106" s="10" t="s">
        <v>75</v>
      </c>
      <c r="F106" s="3"/>
    </row>
    <row r="107" spans="1:6" ht="25.5" customHeight="1" x14ac:dyDescent="0.25"/>
    <row r="108" spans="1:6" ht="25.5" customHeight="1" x14ac:dyDescent="0.25">
      <c r="A108" s="4"/>
    </row>
    <row r="109" spans="1:6" ht="25.5" customHeight="1" x14ac:dyDescent="0.25"/>
    <row r="110" spans="1:6" ht="25.5" customHeight="1" x14ac:dyDescent="0.25"/>
    <row r="111" spans="1:6" ht="25.5" customHeight="1" x14ac:dyDescent="0.25"/>
    <row r="112" spans="1:6" ht="25.5" customHeight="1" x14ac:dyDescent="0.25"/>
    <row r="113" ht="25.5" customHeight="1" x14ac:dyDescent="0.25"/>
    <row r="114" ht="25.5" customHeight="1" x14ac:dyDescent="0.25"/>
    <row r="115" ht="25.5" customHeight="1" x14ac:dyDescent="0.25"/>
    <row r="116" ht="25.5" customHeight="1" x14ac:dyDescent="0.25"/>
    <row r="117" ht="25.5" customHeight="1" x14ac:dyDescent="0.25"/>
    <row r="118" ht="25.5" customHeight="1" x14ac:dyDescent="0.25"/>
    <row r="119" ht="25.5" customHeight="1" x14ac:dyDescent="0.25"/>
    <row r="120" ht="25.5" customHeight="1" x14ac:dyDescent="0.25"/>
    <row r="121" ht="25.5" customHeight="1" x14ac:dyDescent="0.25"/>
    <row r="122" ht="25.5" customHeight="1" x14ac:dyDescent="0.25"/>
    <row r="123" ht="25.5" customHeight="1" x14ac:dyDescent="0.25"/>
    <row r="124" ht="25.5" customHeight="1" x14ac:dyDescent="0.25"/>
    <row r="125" ht="25.5" customHeight="1" x14ac:dyDescent="0.25"/>
    <row r="126" ht="25.5" customHeight="1" x14ac:dyDescent="0.25"/>
    <row r="127" ht="25.5" customHeight="1" x14ac:dyDescent="0.25"/>
    <row r="128" ht="25.5" customHeight="1" x14ac:dyDescent="0.25"/>
    <row r="129" ht="25.5" customHeight="1" x14ac:dyDescent="0.25"/>
    <row r="130" ht="25.5" customHeight="1" x14ac:dyDescent="0.25"/>
    <row r="131" ht="25.5" customHeight="1" x14ac:dyDescent="0.25"/>
    <row r="132" ht="25.5" customHeight="1" x14ac:dyDescent="0.25"/>
    <row r="133" ht="25.5" customHeight="1" x14ac:dyDescent="0.25"/>
    <row r="134" ht="25.5" customHeight="1" x14ac:dyDescent="0.25"/>
    <row r="135" ht="25.5" customHeight="1" x14ac:dyDescent="0.25"/>
    <row r="136" ht="25.5" customHeight="1" x14ac:dyDescent="0.25"/>
    <row r="137" ht="25.5" customHeight="1" x14ac:dyDescent="0.25"/>
    <row r="138" ht="25.5" customHeight="1" x14ac:dyDescent="0.25"/>
    <row r="139" ht="25.5" customHeight="1" x14ac:dyDescent="0.25"/>
    <row r="140" ht="25.5" customHeight="1" x14ac:dyDescent="0.25"/>
    <row r="141" ht="25.5" customHeight="1" x14ac:dyDescent="0.25"/>
    <row r="142" ht="25.5" customHeight="1" x14ac:dyDescent="0.25"/>
    <row r="143" ht="25.5" customHeight="1" x14ac:dyDescent="0.25"/>
    <row r="144" ht="25.5" customHeight="1" x14ac:dyDescent="0.25"/>
    <row r="145" ht="25.5" customHeight="1" x14ac:dyDescent="0.25"/>
    <row r="146" ht="25.5" customHeight="1" x14ac:dyDescent="0.25"/>
    <row r="147" ht="25.5" customHeight="1" x14ac:dyDescent="0.25"/>
    <row r="148" ht="25.5" customHeight="1" x14ac:dyDescent="0.25"/>
    <row r="149" ht="25.5" customHeight="1" x14ac:dyDescent="0.25"/>
    <row r="150" ht="25.5" customHeight="1" x14ac:dyDescent="0.25"/>
    <row r="151" ht="25.5" customHeight="1" x14ac:dyDescent="0.25"/>
    <row r="152" ht="25.5" customHeight="1" x14ac:dyDescent="0.25"/>
    <row r="153" ht="25.5" customHeight="1" x14ac:dyDescent="0.25"/>
    <row r="154" ht="25.5" customHeight="1" x14ac:dyDescent="0.25"/>
    <row r="155" ht="25.5" customHeight="1" x14ac:dyDescent="0.25"/>
    <row r="156" ht="25.5" customHeight="1" x14ac:dyDescent="0.25"/>
    <row r="157" ht="25.5" customHeight="1" x14ac:dyDescent="0.25"/>
    <row r="158" ht="25.5" customHeight="1" x14ac:dyDescent="0.25"/>
    <row r="159" ht="25.5" customHeight="1" x14ac:dyDescent="0.25"/>
    <row r="160" ht="25.5" customHeight="1" x14ac:dyDescent="0.25"/>
    <row r="161" ht="25.5" customHeight="1" x14ac:dyDescent="0.25"/>
    <row r="162" ht="25.5" customHeight="1" x14ac:dyDescent="0.25"/>
    <row r="163" ht="25.5" customHeight="1" x14ac:dyDescent="0.25"/>
    <row r="164" ht="25.5" customHeight="1" x14ac:dyDescent="0.25"/>
    <row r="165" ht="25.5" customHeight="1" x14ac:dyDescent="0.25"/>
    <row r="166" ht="25.5" customHeight="1" x14ac:dyDescent="0.25"/>
    <row r="167" ht="25.5" customHeight="1" x14ac:dyDescent="0.25"/>
    <row r="168" ht="25.5" customHeight="1" x14ac:dyDescent="0.25"/>
    <row r="169" ht="25.5" customHeight="1" x14ac:dyDescent="0.25"/>
    <row r="170" ht="25.5" customHeight="1" x14ac:dyDescent="0.25"/>
    <row r="171" ht="25.5" customHeight="1" x14ac:dyDescent="0.25"/>
    <row r="172" ht="25.5" customHeight="1" x14ac:dyDescent="0.25"/>
    <row r="173" ht="25.5" customHeight="1" x14ac:dyDescent="0.25"/>
    <row r="174" ht="25.5" customHeight="1" x14ac:dyDescent="0.25"/>
    <row r="175" ht="25.5" customHeight="1" x14ac:dyDescent="0.25"/>
    <row r="176" ht="25.5" customHeight="1" x14ac:dyDescent="0.25"/>
    <row r="177" ht="25.5" customHeight="1" x14ac:dyDescent="0.25"/>
    <row r="178" ht="25.5" customHeight="1" x14ac:dyDescent="0.25"/>
    <row r="179" ht="25.5" customHeight="1" x14ac:dyDescent="0.25"/>
    <row r="180" ht="25.5" customHeight="1" x14ac:dyDescent="0.25"/>
    <row r="181" ht="25.5" customHeight="1" x14ac:dyDescent="0.25"/>
    <row r="182" ht="25.5" customHeight="1" x14ac:dyDescent="0.25"/>
    <row r="183" ht="25.5" customHeight="1" x14ac:dyDescent="0.25"/>
    <row r="184" ht="25.5" customHeight="1" x14ac:dyDescent="0.25"/>
    <row r="185" ht="25.5" customHeight="1" x14ac:dyDescent="0.25"/>
    <row r="186" ht="25.5" customHeight="1" x14ac:dyDescent="0.25"/>
    <row r="187" ht="25.5" customHeight="1" x14ac:dyDescent="0.25"/>
    <row r="188" ht="25.5" customHeight="1" x14ac:dyDescent="0.25"/>
    <row r="189" ht="25.5" customHeight="1" x14ac:dyDescent="0.25"/>
    <row r="190" ht="25.5" customHeight="1" x14ac:dyDescent="0.25"/>
    <row r="191" ht="25.5" customHeight="1" x14ac:dyDescent="0.25"/>
    <row r="192" ht="25.5" customHeight="1" x14ac:dyDescent="0.25"/>
    <row r="193" ht="25.5" customHeight="1" x14ac:dyDescent="0.25"/>
    <row r="194" ht="25.5" customHeight="1" x14ac:dyDescent="0.25"/>
    <row r="195" ht="25.5" customHeight="1" x14ac:dyDescent="0.25"/>
    <row r="196" ht="25.5" customHeight="1" x14ac:dyDescent="0.25"/>
    <row r="197" ht="25.5" customHeight="1" x14ac:dyDescent="0.25"/>
    <row r="198" ht="25.5" customHeight="1" x14ac:dyDescent="0.25"/>
    <row r="199" ht="25.5" customHeight="1" x14ac:dyDescent="0.25"/>
    <row r="200" ht="25.5" customHeight="1" x14ac:dyDescent="0.25"/>
    <row r="201" ht="25.5" customHeight="1" x14ac:dyDescent="0.25"/>
    <row r="202" ht="25.5" customHeight="1" x14ac:dyDescent="0.25"/>
    <row r="203" ht="25.5" customHeight="1" x14ac:dyDescent="0.25"/>
    <row r="204" ht="25.5" customHeight="1" x14ac:dyDescent="0.25"/>
    <row r="205" ht="25.5" customHeight="1" x14ac:dyDescent="0.25"/>
    <row r="206" ht="25.5" customHeight="1" x14ac:dyDescent="0.25"/>
    <row r="207" ht="25.5" customHeight="1" x14ac:dyDescent="0.25"/>
    <row r="208" ht="25.5" customHeight="1" x14ac:dyDescent="0.25"/>
    <row r="209" spans="1:10" ht="25.5" customHeight="1" x14ac:dyDescent="0.25">
      <c r="A209" s="1"/>
    </row>
    <row r="210" spans="1:10" ht="46.5" customHeight="1" x14ac:dyDescent="0.25">
      <c r="B210" s="68"/>
      <c r="C210" s="68"/>
      <c r="E210" s="68"/>
      <c r="F210" s="68"/>
      <c r="G210" s="68"/>
      <c r="I210" s="69"/>
      <c r="J210" s="68"/>
    </row>
    <row r="211" spans="1:10" ht="25.5" customHeight="1" x14ac:dyDescent="0.25"/>
    <row r="212" spans="1:10" ht="25.5" customHeight="1" x14ac:dyDescent="0.25"/>
    <row r="213" spans="1:10" ht="25.5" customHeight="1" x14ac:dyDescent="0.25"/>
    <row r="214" spans="1:10" ht="25.5" customHeight="1" x14ac:dyDescent="0.25"/>
    <row r="215" spans="1:10" ht="25.5" customHeight="1" x14ac:dyDescent="0.25"/>
    <row r="216" spans="1:10" ht="25.5" customHeight="1" x14ac:dyDescent="0.25"/>
    <row r="217" spans="1:10" ht="25.5" customHeight="1" x14ac:dyDescent="0.25"/>
    <row r="218" spans="1:10" ht="25.5" customHeight="1" x14ac:dyDescent="0.25"/>
    <row r="219" spans="1:10" ht="25.5" customHeight="1" x14ac:dyDescent="0.25"/>
    <row r="220" spans="1:10" ht="25.5" customHeight="1" x14ac:dyDescent="0.25"/>
    <row r="221" spans="1:10" ht="25.5" customHeight="1" x14ac:dyDescent="0.25"/>
    <row r="222" spans="1:10" ht="25.5" customHeight="1" x14ac:dyDescent="0.25"/>
    <row r="223" spans="1:10" ht="25.5" customHeight="1" x14ac:dyDescent="0.25"/>
    <row r="224" spans="1:10" ht="25.5" customHeight="1" x14ac:dyDescent="0.25"/>
    <row r="225" ht="25.5" customHeight="1" x14ac:dyDescent="0.25"/>
    <row r="226" ht="25.5" customHeight="1" x14ac:dyDescent="0.25"/>
    <row r="227" ht="25.5" customHeight="1" x14ac:dyDescent="0.25"/>
    <row r="228" ht="25.5" customHeight="1" x14ac:dyDescent="0.25"/>
    <row r="229" ht="25.5" customHeight="1" x14ac:dyDescent="0.25"/>
    <row r="230" ht="25.5" customHeight="1" x14ac:dyDescent="0.25"/>
    <row r="231" ht="25.5" customHeight="1" x14ac:dyDescent="0.25"/>
    <row r="232" ht="25.5" customHeight="1" x14ac:dyDescent="0.25"/>
    <row r="233" ht="25.5" customHeight="1" x14ac:dyDescent="0.25"/>
    <row r="234" ht="25.5" customHeight="1" x14ac:dyDescent="0.25"/>
    <row r="235" ht="25.5" customHeight="1" x14ac:dyDescent="0.25"/>
    <row r="236" ht="25.5" customHeight="1" x14ac:dyDescent="0.25"/>
    <row r="237" ht="25.5" customHeight="1" x14ac:dyDescent="0.25"/>
  </sheetData>
  <mergeCells count="6">
    <mergeCell ref="B2:C2"/>
    <mergeCell ref="E2:G2"/>
    <mergeCell ref="I2:J2"/>
    <mergeCell ref="B210:C210"/>
    <mergeCell ref="E210:G210"/>
    <mergeCell ref="I210:J210"/>
  </mergeCells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E4E8-D10F-4EF3-9199-5374A99B29C8}">
  <sheetPr>
    <pageSetUpPr fitToPage="1"/>
  </sheetPr>
  <dimension ref="A1:O204"/>
  <sheetViews>
    <sheetView topLeftCell="A16" workbookViewId="0">
      <selection activeCell="F5" sqref="F5"/>
    </sheetView>
  </sheetViews>
  <sheetFormatPr defaultRowHeight="15" x14ac:dyDescent="0.25"/>
  <cols>
    <col min="1" max="1" width="16" customWidth="1"/>
    <col min="2" max="2" width="16.5703125" customWidth="1"/>
    <col min="3" max="3" width="14.28515625" customWidth="1"/>
    <col min="4" max="4" width="17.28515625" customWidth="1"/>
    <col min="5" max="5" width="12.85546875" customWidth="1"/>
    <col min="6" max="6" width="10.85546875" customWidth="1"/>
    <col min="7" max="7" width="9.7109375" customWidth="1"/>
    <col min="8" max="8" width="20" customWidth="1"/>
    <col min="9" max="9" width="16.42578125" customWidth="1"/>
    <col min="10" max="10" width="15.7109375" customWidth="1"/>
    <col min="11" max="11" width="18.5703125" customWidth="1"/>
    <col min="12" max="12" width="12.28515625" customWidth="1"/>
    <col min="13" max="13" width="11.140625" customWidth="1"/>
    <col min="14" max="14" width="14.28515625" customWidth="1"/>
    <col min="15" max="15" width="13.7109375" customWidth="1"/>
    <col min="16" max="23" width="20" customWidth="1"/>
  </cols>
  <sheetData>
    <row r="1" spans="1:15" ht="25.5" customHeight="1" x14ac:dyDescent="0.25">
      <c r="A1" s="1" t="s">
        <v>0</v>
      </c>
    </row>
    <row r="2" spans="1:15" ht="25.5" customHeight="1" x14ac:dyDescent="0.25">
      <c r="A2" s="1" t="s">
        <v>116</v>
      </c>
    </row>
    <row r="3" spans="1:15" ht="34.5" customHeight="1" x14ac:dyDescent="0.25">
      <c r="A3" s="52" t="s">
        <v>1</v>
      </c>
      <c r="B3" s="72" t="s">
        <v>2</v>
      </c>
      <c r="C3" s="72"/>
      <c r="D3" s="52" t="s">
        <v>9</v>
      </c>
      <c r="E3" s="72" t="s">
        <v>10</v>
      </c>
      <c r="F3" s="72"/>
      <c r="G3" s="72"/>
      <c r="H3" s="52" t="s">
        <v>11</v>
      </c>
      <c r="I3" s="52" t="s">
        <v>12</v>
      </c>
      <c r="J3" s="52" t="s">
        <v>13</v>
      </c>
      <c r="K3" s="53" t="s">
        <v>14</v>
      </c>
      <c r="L3" s="73" t="s">
        <v>15</v>
      </c>
      <c r="M3" s="72"/>
      <c r="N3" s="52" t="s">
        <v>17</v>
      </c>
      <c r="O3" s="52" t="s">
        <v>18</v>
      </c>
    </row>
    <row r="4" spans="1:15" ht="34.5" customHeight="1" x14ac:dyDescent="0.25">
      <c r="A4" s="52" t="s">
        <v>3</v>
      </c>
      <c r="B4" s="52" t="s">
        <v>4</v>
      </c>
      <c r="C4" s="52" t="s">
        <v>5</v>
      </c>
      <c r="D4" s="52" t="s">
        <v>5</v>
      </c>
      <c r="E4" s="52" t="s">
        <v>6</v>
      </c>
      <c r="F4" s="53" t="s">
        <v>7</v>
      </c>
      <c r="G4" s="52" t="s">
        <v>5</v>
      </c>
      <c r="H4" s="52" t="s">
        <v>8</v>
      </c>
      <c r="I4" s="52" t="s">
        <v>5</v>
      </c>
      <c r="J4" s="52" t="s">
        <v>5</v>
      </c>
      <c r="K4" s="52" t="s">
        <v>5</v>
      </c>
      <c r="L4" s="52" t="s">
        <v>16</v>
      </c>
      <c r="M4" s="52" t="s">
        <v>5</v>
      </c>
      <c r="N4" s="52" t="s">
        <v>19</v>
      </c>
      <c r="O4" s="52" t="s">
        <v>5</v>
      </c>
    </row>
    <row r="5" spans="1:15" ht="25.5" customHeight="1" x14ac:dyDescent="0.25">
      <c r="A5" s="52" t="s">
        <v>86</v>
      </c>
      <c r="B5" s="57">
        <f>'Budget detail SGA'!C14</f>
        <v>15.919999999999998</v>
      </c>
      <c r="C5" s="54">
        <f>'Budget detail SGA'!B14</f>
        <v>116300.265</v>
      </c>
      <c r="D5" s="54">
        <f>'Budget detail SGA'!B18</f>
        <v>8900</v>
      </c>
      <c r="E5" s="54">
        <v>73</v>
      </c>
      <c r="F5" s="54">
        <f>'Budget detail SGA'!B23</f>
        <v>73</v>
      </c>
      <c r="G5" s="54">
        <f>'Budget detail SGA'!C23</f>
        <v>16060</v>
      </c>
      <c r="H5" s="54">
        <f>'Budget detail SGA'!D23</f>
        <v>19395</v>
      </c>
      <c r="I5" s="54">
        <f>'Budget detail SGA'!E23</f>
        <v>4747.5</v>
      </c>
      <c r="J5" s="54">
        <f>'Budget detail SGA'!B32</f>
        <v>8171.4285714285716</v>
      </c>
      <c r="K5" s="54">
        <f>'Budget detail SGA'!B58</f>
        <v>43078.57142857142</v>
      </c>
      <c r="L5" s="52">
        <v>0</v>
      </c>
      <c r="M5" s="54">
        <v>0</v>
      </c>
      <c r="N5" s="54">
        <v>0</v>
      </c>
      <c r="O5" s="55">
        <f>C5+D5+G5+H5+I5+J5+K5</f>
        <v>216652.76500000001</v>
      </c>
    </row>
    <row r="6" spans="1:15" ht="25.5" customHeight="1" x14ac:dyDescent="0.25"/>
    <row r="7" spans="1:15" ht="25.5" customHeight="1" x14ac:dyDescent="0.25">
      <c r="A7" s="1" t="s">
        <v>125</v>
      </c>
    </row>
    <row r="8" spans="1:15" ht="25.5" customHeight="1" x14ac:dyDescent="0.25">
      <c r="A8" s="52" t="s">
        <v>1</v>
      </c>
      <c r="B8" s="72" t="s">
        <v>2</v>
      </c>
      <c r="C8" s="72"/>
      <c r="D8" s="52" t="s">
        <v>9</v>
      </c>
      <c r="E8" s="72" t="s">
        <v>10</v>
      </c>
      <c r="F8" s="72"/>
      <c r="G8" s="72"/>
      <c r="H8" s="52" t="s">
        <v>11</v>
      </c>
      <c r="I8" s="52" t="s">
        <v>12</v>
      </c>
      <c r="J8" s="52" t="s">
        <v>13</v>
      </c>
      <c r="K8" s="53" t="s">
        <v>14</v>
      </c>
      <c r="L8" s="73" t="s">
        <v>15</v>
      </c>
      <c r="M8" s="72"/>
      <c r="N8" s="52" t="s">
        <v>17</v>
      </c>
      <c r="O8" s="52" t="s">
        <v>18</v>
      </c>
    </row>
    <row r="9" spans="1:15" ht="25.5" customHeight="1" x14ac:dyDescent="0.25">
      <c r="A9" s="52" t="s">
        <v>3</v>
      </c>
      <c r="B9" s="52" t="s">
        <v>4</v>
      </c>
      <c r="C9" s="52" t="s">
        <v>5</v>
      </c>
      <c r="D9" s="52" t="s">
        <v>5</v>
      </c>
      <c r="E9" s="52" t="s">
        <v>6</v>
      </c>
      <c r="F9" s="53" t="s">
        <v>7</v>
      </c>
      <c r="G9" s="52" t="s">
        <v>5</v>
      </c>
      <c r="H9" s="52" t="s">
        <v>8</v>
      </c>
      <c r="I9" s="52" t="s">
        <v>5</v>
      </c>
      <c r="J9" s="52" t="s">
        <v>5</v>
      </c>
      <c r="K9" s="52" t="s">
        <v>5</v>
      </c>
      <c r="L9" s="52" t="s">
        <v>16</v>
      </c>
      <c r="M9" s="52" t="s">
        <v>5</v>
      </c>
      <c r="N9" s="52" t="s">
        <v>19</v>
      </c>
      <c r="O9" s="52" t="s">
        <v>5</v>
      </c>
    </row>
    <row r="10" spans="1:15" ht="25.5" customHeight="1" x14ac:dyDescent="0.25">
      <c r="A10" s="52" t="s">
        <v>86</v>
      </c>
      <c r="B10" s="57">
        <f>'Budget detail SGA'!C73</f>
        <v>16.199466666666666</v>
      </c>
      <c r="C10" s="54">
        <f>'Budget detail SGA'!B73</f>
        <v>89840.463300000003</v>
      </c>
      <c r="D10" s="54">
        <f>'Budget detail SGA'!B76</f>
        <v>24000</v>
      </c>
      <c r="E10" s="54">
        <v>30</v>
      </c>
      <c r="F10" s="54">
        <f>'Budget detail SGA'!B79</f>
        <v>30</v>
      </c>
      <c r="G10" s="54">
        <f>'Budget detail SGA'!C79</f>
        <v>6600</v>
      </c>
      <c r="H10" s="54">
        <f>'Budget detail SGA'!D79</f>
        <v>8100</v>
      </c>
      <c r="I10" s="54">
        <f>'Budget detail SGA'!E79</f>
        <v>1800</v>
      </c>
      <c r="J10" s="54">
        <f>'Budget detail SGA'!B85</f>
        <v>1071.4285714285713</v>
      </c>
      <c r="K10" s="54">
        <f>'Budget detail SGA'!B103</f>
        <v>19568.571428571431</v>
      </c>
      <c r="L10" s="52">
        <v>0</v>
      </c>
      <c r="M10" s="54">
        <v>0</v>
      </c>
      <c r="N10" s="54">
        <v>0</v>
      </c>
      <c r="O10" s="55">
        <f>C10+D10+G10+H10+I10+J10+K10</f>
        <v>150980.4633</v>
      </c>
    </row>
    <row r="11" spans="1:15" ht="25.5" customHeight="1" x14ac:dyDescent="0.25"/>
    <row r="12" spans="1:15" ht="25.5" customHeight="1" x14ac:dyDescent="0.25">
      <c r="A12" s="1" t="s">
        <v>128</v>
      </c>
    </row>
    <row r="13" spans="1:15" ht="25.5" customHeight="1" x14ac:dyDescent="0.25">
      <c r="A13" s="52" t="s">
        <v>1</v>
      </c>
      <c r="B13" s="72" t="s">
        <v>2</v>
      </c>
      <c r="C13" s="72"/>
      <c r="D13" s="52" t="s">
        <v>9</v>
      </c>
      <c r="E13" s="72" t="s">
        <v>10</v>
      </c>
      <c r="F13" s="72"/>
      <c r="G13" s="72"/>
      <c r="H13" s="52" t="s">
        <v>11</v>
      </c>
      <c r="I13" s="52" t="s">
        <v>12</v>
      </c>
      <c r="J13" s="52" t="s">
        <v>13</v>
      </c>
      <c r="K13" s="53" t="s">
        <v>14</v>
      </c>
      <c r="L13" s="73" t="s">
        <v>15</v>
      </c>
      <c r="M13" s="72"/>
      <c r="N13" s="52" t="s">
        <v>17</v>
      </c>
      <c r="O13" s="52" t="s">
        <v>18</v>
      </c>
    </row>
    <row r="14" spans="1:15" ht="25.5" customHeight="1" x14ac:dyDescent="0.25">
      <c r="A14" s="52" t="s">
        <v>3</v>
      </c>
      <c r="B14" s="52" t="s">
        <v>4</v>
      </c>
      <c r="C14" s="52" t="s">
        <v>5</v>
      </c>
      <c r="D14" s="52" t="s">
        <v>5</v>
      </c>
      <c r="E14" s="52" t="s">
        <v>6</v>
      </c>
      <c r="F14" s="53" t="s">
        <v>7</v>
      </c>
      <c r="G14" s="52" t="s">
        <v>5</v>
      </c>
      <c r="H14" s="52" t="s">
        <v>8</v>
      </c>
      <c r="I14" s="52" t="s">
        <v>5</v>
      </c>
      <c r="J14" s="52" t="s">
        <v>5</v>
      </c>
      <c r="K14" s="52" t="s">
        <v>5</v>
      </c>
      <c r="L14" s="52" t="s">
        <v>16</v>
      </c>
      <c r="M14" s="52" t="s">
        <v>5</v>
      </c>
      <c r="N14" s="52" t="s">
        <v>19</v>
      </c>
      <c r="O14" s="52" t="s">
        <v>5</v>
      </c>
    </row>
    <row r="15" spans="1:15" ht="25.5" customHeight="1" x14ac:dyDescent="0.25">
      <c r="A15" s="52" t="s">
        <v>86</v>
      </c>
      <c r="B15" s="57">
        <f>'Budget detail SGA'!C118</f>
        <v>13.579733333333335</v>
      </c>
      <c r="C15" s="54">
        <f>'Budget detail SGA'!B118</f>
        <v>65879.158599999995</v>
      </c>
      <c r="D15" s="54">
        <f>'Budget detail SGA'!B121</f>
        <v>0</v>
      </c>
      <c r="E15" s="54">
        <v>0</v>
      </c>
      <c r="F15" s="54">
        <f>'Budget detail SGA'!B124</f>
        <v>0</v>
      </c>
      <c r="G15" s="54">
        <f>'Budget detail SGA'!C124</f>
        <v>0</v>
      </c>
      <c r="H15" s="54">
        <f>'Budget detail SGA'!D124</f>
        <v>0</v>
      </c>
      <c r="I15" s="54">
        <f>'Budget detail SGA'!E124</f>
        <v>0</v>
      </c>
      <c r="J15" s="54">
        <f>'Budget detail SGA'!B130</f>
        <v>1071.4285714285713</v>
      </c>
      <c r="K15" s="54">
        <f>'Budget detail SGA'!B146</f>
        <v>14618.571428571428</v>
      </c>
      <c r="L15" s="52">
        <v>0</v>
      </c>
      <c r="M15" s="54">
        <v>0</v>
      </c>
      <c r="N15" s="54">
        <v>0</v>
      </c>
      <c r="O15" s="55">
        <f>C15+D15+G15+H15+I15+J15+K15</f>
        <v>81569.158599999995</v>
      </c>
    </row>
    <row r="16" spans="1:15" ht="25.5" customHeight="1" x14ac:dyDescent="0.25"/>
    <row r="17" spans="1:15" ht="25.5" customHeight="1" x14ac:dyDescent="0.25">
      <c r="A17" s="1" t="s">
        <v>133</v>
      </c>
    </row>
    <row r="18" spans="1:15" ht="25.5" customHeight="1" x14ac:dyDescent="0.25">
      <c r="A18" s="52" t="s">
        <v>1</v>
      </c>
      <c r="B18" s="72" t="s">
        <v>2</v>
      </c>
      <c r="C18" s="72"/>
      <c r="D18" s="52" t="s">
        <v>9</v>
      </c>
      <c r="E18" s="72" t="s">
        <v>10</v>
      </c>
      <c r="F18" s="72"/>
      <c r="G18" s="72"/>
      <c r="H18" s="52" t="s">
        <v>11</v>
      </c>
      <c r="I18" s="52" t="s">
        <v>12</v>
      </c>
      <c r="J18" s="52" t="s">
        <v>13</v>
      </c>
      <c r="K18" s="53" t="s">
        <v>14</v>
      </c>
      <c r="L18" s="73" t="s">
        <v>15</v>
      </c>
      <c r="M18" s="72"/>
      <c r="N18" s="52" t="s">
        <v>17</v>
      </c>
      <c r="O18" s="52" t="s">
        <v>18</v>
      </c>
    </row>
    <row r="19" spans="1:15" ht="25.5" customHeight="1" x14ac:dyDescent="0.25">
      <c r="A19" s="52" t="s">
        <v>3</v>
      </c>
      <c r="B19" s="52" t="s">
        <v>4</v>
      </c>
      <c r="C19" s="52" t="s">
        <v>5</v>
      </c>
      <c r="D19" s="52" t="s">
        <v>5</v>
      </c>
      <c r="E19" s="52" t="s">
        <v>6</v>
      </c>
      <c r="F19" s="53" t="s">
        <v>7</v>
      </c>
      <c r="G19" s="52" t="s">
        <v>5</v>
      </c>
      <c r="H19" s="52" t="s">
        <v>8</v>
      </c>
      <c r="I19" s="52" t="s">
        <v>5</v>
      </c>
      <c r="J19" s="52" t="s">
        <v>5</v>
      </c>
      <c r="K19" s="52" t="s">
        <v>5</v>
      </c>
      <c r="L19" s="52" t="s">
        <v>16</v>
      </c>
      <c r="M19" s="52" t="s">
        <v>5</v>
      </c>
      <c r="N19" s="52" t="s">
        <v>19</v>
      </c>
      <c r="O19" s="52" t="s">
        <v>5</v>
      </c>
    </row>
    <row r="20" spans="1:15" ht="25.5" customHeight="1" x14ac:dyDescent="0.25">
      <c r="A20" s="52" t="s">
        <v>86</v>
      </c>
      <c r="B20" s="57">
        <f>'Budget detail SGA'!C161</f>
        <v>13.940266666666668</v>
      </c>
      <c r="C20" s="54">
        <f>'Budget detail SGA'!B161</f>
        <v>85779.272799999992</v>
      </c>
      <c r="D20" s="54">
        <f>'Budget detail SGA'!B165</f>
        <v>47000</v>
      </c>
      <c r="E20" s="54">
        <v>32</v>
      </c>
      <c r="F20" s="54">
        <f>'Budget detail SGA'!B169</f>
        <v>32</v>
      </c>
      <c r="G20" s="54">
        <f>'Budget detail SGA'!C169</f>
        <v>7040</v>
      </c>
      <c r="H20" s="54">
        <f>'Budget detail SGA'!D169</f>
        <v>8460</v>
      </c>
      <c r="I20" s="54">
        <f>'Budget detail SGA'!E169</f>
        <v>1880</v>
      </c>
      <c r="J20" s="54">
        <f>'Budget detail SGA'!B175</f>
        <v>1071.4285714285713</v>
      </c>
      <c r="K20" s="54">
        <f>'Budget detail SGA'!B195</f>
        <v>24218.571428571431</v>
      </c>
      <c r="L20" s="52">
        <v>0</v>
      </c>
      <c r="M20" s="54">
        <v>0</v>
      </c>
      <c r="N20" s="54">
        <v>0</v>
      </c>
      <c r="O20" s="55">
        <f>C20+D20+G20+H20+I20+J20+K20</f>
        <v>175449.27279999998</v>
      </c>
    </row>
    <row r="21" spans="1:15" ht="25.5" customHeight="1" x14ac:dyDescent="0.25"/>
    <row r="22" spans="1:15" ht="25.5" customHeight="1" x14ac:dyDescent="0.25">
      <c r="A22" s="1" t="s">
        <v>136</v>
      </c>
    </row>
    <row r="23" spans="1:15" ht="25.5" customHeight="1" x14ac:dyDescent="0.25">
      <c r="A23" s="52" t="s">
        <v>1</v>
      </c>
      <c r="B23" s="72" t="s">
        <v>2</v>
      </c>
      <c r="C23" s="72"/>
      <c r="D23" s="52" t="s">
        <v>9</v>
      </c>
      <c r="E23" s="72" t="s">
        <v>10</v>
      </c>
      <c r="F23" s="72"/>
      <c r="G23" s="72"/>
      <c r="H23" s="52" t="s">
        <v>11</v>
      </c>
      <c r="I23" s="52" t="s">
        <v>12</v>
      </c>
      <c r="J23" s="52" t="s">
        <v>13</v>
      </c>
      <c r="K23" s="53" t="s">
        <v>14</v>
      </c>
      <c r="L23" s="73" t="s">
        <v>15</v>
      </c>
      <c r="M23" s="72"/>
      <c r="N23" s="52" t="s">
        <v>17</v>
      </c>
      <c r="O23" s="52" t="s">
        <v>18</v>
      </c>
    </row>
    <row r="24" spans="1:15" ht="25.5" customHeight="1" x14ac:dyDescent="0.25">
      <c r="A24" s="52" t="s">
        <v>3</v>
      </c>
      <c r="B24" s="52" t="s">
        <v>4</v>
      </c>
      <c r="C24" s="52" t="s">
        <v>5</v>
      </c>
      <c r="D24" s="52" t="s">
        <v>5</v>
      </c>
      <c r="E24" s="52" t="s">
        <v>6</v>
      </c>
      <c r="F24" s="53" t="s">
        <v>7</v>
      </c>
      <c r="G24" s="52" t="s">
        <v>5</v>
      </c>
      <c r="H24" s="52" t="s">
        <v>8</v>
      </c>
      <c r="I24" s="52" t="s">
        <v>5</v>
      </c>
      <c r="J24" s="52" t="s">
        <v>5</v>
      </c>
      <c r="K24" s="52" t="s">
        <v>5</v>
      </c>
      <c r="L24" s="52" t="s">
        <v>16</v>
      </c>
      <c r="M24" s="52" t="s">
        <v>5</v>
      </c>
      <c r="N24" s="52" t="s">
        <v>19</v>
      </c>
      <c r="O24" s="52" t="s">
        <v>5</v>
      </c>
    </row>
    <row r="25" spans="1:15" ht="25.5" customHeight="1" x14ac:dyDescent="0.25">
      <c r="A25" s="52" t="s">
        <v>86</v>
      </c>
      <c r="B25" s="57">
        <f>'Budget detail SGA'!C210</f>
        <v>21.460266666666669</v>
      </c>
      <c r="C25" s="54">
        <f>'Budget detail SGA'!B210</f>
        <v>112182.09890000001</v>
      </c>
      <c r="D25" s="54">
        <f>'Budget detail SGA'!B220</f>
        <v>181600</v>
      </c>
      <c r="E25" s="54">
        <v>370</v>
      </c>
      <c r="F25" s="54">
        <f>'Budget detail SGA'!B223</f>
        <v>120</v>
      </c>
      <c r="G25" s="54">
        <f>'Budget detail SGA'!C223</f>
        <v>26400</v>
      </c>
      <c r="H25" s="54">
        <f>'Budget detail SGA'!D223</f>
        <v>21600</v>
      </c>
      <c r="I25" s="54">
        <f>'Budget detail SGA'!E223</f>
        <v>4800</v>
      </c>
      <c r="J25" s="54">
        <f>'Budget detail SGA'!B230</f>
        <v>4571.4285714285725</v>
      </c>
      <c r="K25" s="54">
        <f>'Budget detail SGA'!B248</f>
        <v>27818.571428571431</v>
      </c>
      <c r="L25" s="52">
        <v>0</v>
      </c>
      <c r="M25" s="54">
        <v>0</v>
      </c>
      <c r="N25" s="54">
        <v>0</v>
      </c>
      <c r="O25" s="55">
        <f>C25+D25+G25+H25+I25+J25+K25</f>
        <v>378972.09889999998</v>
      </c>
    </row>
    <row r="26" spans="1:15" ht="25.5" customHeight="1" x14ac:dyDescent="0.25"/>
    <row r="27" spans="1:15" ht="25.5" customHeight="1" x14ac:dyDescent="0.25">
      <c r="A27" s="1" t="s">
        <v>139</v>
      </c>
    </row>
    <row r="28" spans="1:15" ht="25.5" customHeight="1" x14ac:dyDescent="0.25">
      <c r="A28" s="52" t="s">
        <v>1</v>
      </c>
      <c r="B28" s="72" t="s">
        <v>2</v>
      </c>
      <c r="C28" s="72"/>
      <c r="D28" s="52" t="s">
        <v>9</v>
      </c>
      <c r="E28" s="72" t="s">
        <v>10</v>
      </c>
      <c r="F28" s="72"/>
      <c r="G28" s="72"/>
      <c r="H28" s="52" t="s">
        <v>11</v>
      </c>
      <c r="I28" s="52" t="s">
        <v>12</v>
      </c>
      <c r="J28" s="52" t="s">
        <v>13</v>
      </c>
      <c r="K28" s="53" t="s">
        <v>14</v>
      </c>
      <c r="L28" s="73" t="s">
        <v>15</v>
      </c>
      <c r="M28" s="72"/>
      <c r="N28" s="52" t="s">
        <v>17</v>
      </c>
      <c r="O28" s="52" t="s">
        <v>18</v>
      </c>
    </row>
    <row r="29" spans="1:15" ht="25.5" customHeight="1" x14ac:dyDescent="0.25">
      <c r="A29" s="52" t="s">
        <v>3</v>
      </c>
      <c r="B29" s="52" t="s">
        <v>4</v>
      </c>
      <c r="C29" s="52" t="s">
        <v>5</v>
      </c>
      <c r="D29" s="52" t="s">
        <v>5</v>
      </c>
      <c r="E29" s="52" t="s">
        <v>6</v>
      </c>
      <c r="F29" s="53" t="s">
        <v>7</v>
      </c>
      <c r="G29" s="52" t="s">
        <v>5</v>
      </c>
      <c r="H29" s="52" t="s">
        <v>8</v>
      </c>
      <c r="I29" s="52" t="s">
        <v>5</v>
      </c>
      <c r="J29" s="52" t="s">
        <v>5</v>
      </c>
      <c r="K29" s="52" t="s">
        <v>5</v>
      </c>
      <c r="L29" s="52" t="s">
        <v>16</v>
      </c>
      <c r="M29" s="52" t="s">
        <v>5</v>
      </c>
      <c r="N29" s="52" t="s">
        <v>19</v>
      </c>
      <c r="O29" s="52" t="s">
        <v>5</v>
      </c>
    </row>
    <row r="30" spans="1:15" ht="25.5" customHeight="1" x14ac:dyDescent="0.25">
      <c r="A30" s="52" t="s">
        <v>86</v>
      </c>
      <c r="B30" s="57">
        <f>'Budget detail SGA'!C263</f>
        <v>12.080000000000002</v>
      </c>
      <c r="C30" s="54">
        <f>'Budget detail SGA'!B263</f>
        <v>68340.352499999994</v>
      </c>
      <c r="D30" s="54">
        <f>'Budget detail SGA'!B266</f>
        <v>2500</v>
      </c>
      <c r="E30" s="54">
        <v>3</v>
      </c>
      <c r="F30" s="54">
        <f>'Budget detail SGA'!B269</f>
        <v>3</v>
      </c>
      <c r="G30" s="54">
        <f>'Budget detail SGA'!C269</f>
        <v>660</v>
      </c>
      <c r="H30" s="54">
        <f>'Budget detail SGA'!D269</f>
        <v>540</v>
      </c>
      <c r="I30" s="54">
        <f>'Budget detail SGA'!E269</f>
        <v>120</v>
      </c>
      <c r="J30" s="54">
        <f>'Budget detail SGA'!B275</f>
        <v>1071.4285714285713</v>
      </c>
      <c r="K30" s="54">
        <f>'Budget detail SGA'!B293</f>
        <v>14818.571428571428</v>
      </c>
      <c r="L30" s="52">
        <v>0</v>
      </c>
      <c r="M30" s="54">
        <v>0</v>
      </c>
      <c r="N30" s="54">
        <v>0</v>
      </c>
      <c r="O30" s="55">
        <f>C30+D30+G30+H30+I30+J30+K30</f>
        <v>88050.352499999979</v>
      </c>
    </row>
    <row r="31" spans="1:15" ht="25.5" customHeight="1" x14ac:dyDescent="0.25"/>
    <row r="32" spans="1:15" ht="25.5" customHeight="1" x14ac:dyDescent="0.25">
      <c r="A32" s="1" t="s">
        <v>147</v>
      </c>
    </row>
    <row r="33" spans="1:15" ht="25.5" customHeight="1" x14ac:dyDescent="0.25">
      <c r="A33" s="52" t="s">
        <v>1</v>
      </c>
      <c r="B33" s="72" t="s">
        <v>2</v>
      </c>
      <c r="C33" s="72"/>
      <c r="D33" s="52" t="s">
        <v>9</v>
      </c>
      <c r="E33" s="72" t="s">
        <v>10</v>
      </c>
      <c r="F33" s="72"/>
      <c r="G33" s="72"/>
      <c r="H33" s="52" t="s">
        <v>11</v>
      </c>
      <c r="I33" s="52" t="s">
        <v>12</v>
      </c>
      <c r="J33" s="52" t="s">
        <v>13</v>
      </c>
      <c r="K33" s="53" t="s">
        <v>14</v>
      </c>
      <c r="L33" s="73" t="s">
        <v>15</v>
      </c>
      <c r="M33" s="72"/>
      <c r="N33" s="52" t="s">
        <v>17</v>
      </c>
      <c r="O33" s="52" t="s">
        <v>18</v>
      </c>
    </row>
    <row r="34" spans="1:15" ht="25.5" customHeight="1" x14ac:dyDescent="0.25">
      <c r="A34" s="52" t="s">
        <v>3</v>
      </c>
      <c r="B34" s="52" t="s">
        <v>4</v>
      </c>
      <c r="C34" s="52" t="s">
        <v>5</v>
      </c>
      <c r="D34" s="52" t="s">
        <v>5</v>
      </c>
      <c r="E34" s="52" t="s">
        <v>6</v>
      </c>
      <c r="F34" s="53" t="s">
        <v>7</v>
      </c>
      <c r="G34" s="52" t="s">
        <v>5</v>
      </c>
      <c r="H34" s="52" t="s">
        <v>8</v>
      </c>
      <c r="I34" s="52" t="s">
        <v>5</v>
      </c>
      <c r="J34" s="52" t="s">
        <v>5</v>
      </c>
      <c r="K34" s="52" t="s">
        <v>5</v>
      </c>
      <c r="L34" s="52" t="s">
        <v>16</v>
      </c>
      <c r="M34" s="52" t="s">
        <v>5</v>
      </c>
      <c r="N34" s="52" t="s">
        <v>19</v>
      </c>
      <c r="O34" s="52" t="s">
        <v>5</v>
      </c>
    </row>
    <row r="35" spans="1:15" ht="25.5" customHeight="1" x14ac:dyDescent="0.25">
      <c r="A35" s="52" t="s">
        <v>86</v>
      </c>
      <c r="B35" s="57">
        <f>'Budget detail SGA'!C308</f>
        <v>13.860266666666666</v>
      </c>
      <c r="C35" s="54">
        <f>'Budget detail SGA'!B308</f>
        <v>68581.868900000001</v>
      </c>
      <c r="D35" s="54">
        <f>'Budget detail SGA'!B311</f>
        <v>2500</v>
      </c>
      <c r="E35" s="54">
        <v>3</v>
      </c>
      <c r="F35" s="54">
        <f>'Budget detail SGA'!B314</f>
        <v>3</v>
      </c>
      <c r="G35" s="54">
        <f>'Budget detail SGA'!C314</f>
        <v>660</v>
      </c>
      <c r="H35" s="54">
        <f>'Budget detail SGA'!D314</f>
        <v>540</v>
      </c>
      <c r="I35" s="54">
        <f>'Budget detail SGA'!E314</f>
        <v>120</v>
      </c>
      <c r="J35" s="54">
        <f>'Budget detail SGA'!B320</f>
        <v>1071.4285714285713</v>
      </c>
      <c r="K35" s="54">
        <f>'Budget detail SGA'!B340</f>
        <v>19568.571428571431</v>
      </c>
      <c r="L35" s="52">
        <v>0</v>
      </c>
      <c r="M35" s="54">
        <v>0</v>
      </c>
      <c r="N35" s="54">
        <v>0</v>
      </c>
      <c r="O35" s="55">
        <f>C35+D35+G35+H35+I35+J35+K35</f>
        <v>93041.868900000001</v>
      </c>
    </row>
    <row r="36" spans="1:15" ht="25.5" customHeight="1" x14ac:dyDescent="0.25"/>
    <row r="37" spans="1:15" ht="25.5" customHeight="1" x14ac:dyDescent="0.25">
      <c r="A37" s="58" t="s">
        <v>153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1:15" ht="34.5" customHeight="1" x14ac:dyDescent="0.25">
      <c r="A38" s="51" t="s">
        <v>1</v>
      </c>
      <c r="B38" s="70" t="s">
        <v>2</v>
      </c>
      <c r="C38" s="70"/>
      <c r="D38" s="51" t="s">
        <v>9</v>
      </c>
      <c r="E38" s="70" t="s">
        <v>10</v>
      </c>
      <c r="F38" s="70"/>
      <c r="G38" s="70"/>
      <c r="H38" s="51" t="s">
        <v>11</v>
      </c>
      <c r="I38" s="51" t="s">
        <v>12</v>
      </c>
      <c r="J38" s="51" t="s">
        <v>13</v>
      </c>
      <c r="K38" s="56" t="s">
        <v>14</v>
      </c>
      <c r="L38" s="71" t="s">
        <v>15</v>
      </c>
      <c r="M38" s="70"/>
      <c r="N38" s="51" t="s">
        <v>17</v>
      </c>
      <c r="O38" s="51" t="s">
        <v>18</v>
      </c>
    </row>
    <row r="39" spans="1:15" ht="34.5" customHeight="1" x14ac:dyDescent="0.25">
      <c r="A39" s="51" t="s">
        <v>3</v>
      </c>
      <c r="B39" s="51" t="s">
        <v>4</v>
      </c>
      <c r="C39" s="51" t="s">
        <v>5</v>
      </c>
      <c r="D39" s="51" t="s">
        <v>5</v>
      </c>
      <c r="E39" s="51" t="s">
        <v>6</v>
      </c>
      <c r="F39" s="56" t="s">
        <v>7</v>
      </c>
      <c r="G39" s="51" t="s">
        <v>5</v>
      </c>
      <c r="H39" s="51" t="s">
        <v>8</v>
      </c>
      <c r="I39" s="51" t="s">
        <v>5</v>
      </c>
      <c r="J39" s="51" t="s">
        <v>5</v>
      </c>
      <c r="K39" s="51" t="s">
        <v>5</v>
      </c>
      <c r="L39" s="51" t="s">
        <v>16</v>
      </c>
      <c r="M39" s="51" t="s">
        <v>5</v>
      </c>
      <c r="N39" s="51" t="s">
        <v>19</v>
      </c>
      <c r="O39" s="51" t="s">
        <v>5</v>
      </c>
    </row>
    <row r="40" spans="1:15" ht="33.75" customHeight="1" x14ac:dyDescent="0.25">
      <c r="A40" s="51" t="s">
        <v>86</v>
      </c>
      <c r="B40" s="55">
        <f>B5+B10+B15+B20+B25+B30+B35</f>
        <v>107.04</v>
      </c>
      <c r="C40" s="55">
        <f>C5+C10+C15+C20+C25+C30+C35</f>
        <v>606903.4800000001</v>
      </c>
      <c r="D40" s="55">
        <f>D5+D10+D15+D20+D25+D30+D35</f>
        <v>266500</v>
      </c>
      <c r="E40" s="55">
        <v>511</v>
      </c>
      <c r="F40" s="55">
        <f>F5+F10+F15+F20+F25+F30+F35</f>
        <v>261</v>
      </c>
      <c r="G40" s="55">
        <f>G5+G10+G15+G20+G25+G30+G35</f>
        <v>57420</v>
      </c>
      <c r="H40" s="55">
        <f t="shared" ref="H40:K40" si="0">H5+H10+H15+H20+H25+H30+H35</f>
        <v>58635</v>
      </c>
      <c r="I40" s="55">
        <f t="shared" si="0"/>
        <v>13467.5</v>
      </c>
      <c r="J40" s="55">
        <f t="shared" si="0"/>
        <v>18100</v>
      </c>
      <c r="K40" s="55">
        <f t="shared" si="0"/>
        <v>163690</v>
      </c>
      <c r="L40" s="51">
        <v>0</v>
      </c>
      <c r="M40" s="55">
        <v>0</v>
      </c>
      <c r="N40" s="55">
        <v>0</v>
      </c>
      <c r="O40" s="55">
        <f t="shared" ref="O40" si="1">O5+O10+O15+O20+O25+O30+O35</f>
        <v>1184715.98</v>
      </c>
    </row>
    <row r="41" spans="1:15" ht="25.5" customHeight="1" x14ac:dyDescent="0.25"/>
    <row r="42" spans="1:15" ht="25.5" customHeight="1" x14ac:dyDescent="0.25"/>
    <row r="43" spans="1:15" ht="25.5" customHeight="1" x14ac:dyDescent="0.25"/>
    <row r="44" spans="1:15" ht="25.5" customHeight="1" x14ac:dyDescent="0.25"/>
    <row r="45" spans="1:15" ht="25.5" customHeight="1" x14ac:dyDescent="0.25"/>
    <row r="46" spans="1:15" ht="25.5" customHeight="1" x14ac:dyDescent="0.25"/>
    <row r="47" spans="1:15" ht="25.5" customHeight="1" x14ac:dyDescent="0.25"/>
    <row r="48" spans="1:15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  <row r="102" ht="25.5" customHeight="1" x14ac:dyDescent="0.25"/>
    <row r="103" ht="25.5" customHeight="1" x14ac:dyDescent="0.25"/>
    <row r="104" ht="25.5" customHeight="1" x14ac:dyDescent="0.25"/>
    <row r="105" ht="25.5" customHeight="1" x14ac:dyDescent="0.25"/>
    <row r="106" ht="25.5" customHeight="1" x14ac:dyDescent="0.25"/>
    <row r="107" ht="25.5" customHeight="1" x14ac:dyDescent="0.25"/>
    <row r="108" ht="25.5" customHeight="1" x14ac:dyDescent="0.25"/>
    <row r="109" ht="25.5" customHeight="1" x14ac:dyDescent="0.25"/>
    <row r="110" ht="25.5" customHeight="1" x14ac:dyDescent="0.25"/>
    <row r="111" ht="25.5" customHeight="1" x14ac:dyDescent="0.25"/>
    <row r="112" ht="25.5" customHeight="1" x14ac:dyDescent="0.25"/>
    <row r="113" ht="25.5" customHeight="1" x14ac:dyDescent="0.25"/>
    <row r="114" ht="25.5" customHeight="1" x14ac:dyDescent="0.25"/>
    <row r="115" ht="25.5" customHeight="1" x14ac:dyDescent="0.25"/>
    <row r="116" ht="25.5" customHeight="1" x14ac:dyDescent="0.25"/>
    <row r="117" ht="25.5" customHeight="1" x14ac:dyDescent="0.25"/>
    <row r="118" ht="25.5" customHeight="1" x14ac:dyDescent="0.25"/>
    <row r="119" ht="25.5" customHeight="1" x14ac:dyDescent="0.25"/>
    <row r="120" ht="25.5" customHeight="1" x14ac:dyDescent="0.25"/>
    <row r="121" ht="25.5" customHeight="1" x14ac:dyDescent="0.25"/>
    <row r="122" ht="25.5" customHeight="1" x14ac:dyDescent="0.25"/>
    <row r="123" ht="25.5" customHeight="1" x14ac:dyDescent="0.25"/>
    <row r="124" ht="25.5" customHeight="1" x14ac:dyDescent="0.25"/>
    <row r="125" ht="25.5" customHeight="1" x14ac:dyDescent="0.25"/>
    <row r="126" ht="25.5" customHeight="1" x14ac:dyDescent="0.25"/>
    <row r="127" ht="25.5" customHeight="1" x14ac:dyDescent="0.25"/>
    <row r="128" ht="25.5" customHeight="1" x14ac:dyDescent="0.25"/>
    <row r="129" ht="25.5" customHeight="1" x14ac:dyDescent="0.25"/>
    <row r="130" ht="25.5" customHeight="1" x14ac:dyDescent="0.25"/>
    <row r="131" ht="25.5" customHeight="1" x14ac:dyDescent="0.25"/>
    <row r="132" ht="25.5" customHeight="1" x14ac:dyDescent="0.25"/>
    <row r="133" ht="25.5" customHeight="1" x14ac:dyDescent="0.25"/>
    <row r="134" ht="25.5" customHeight="1" x14ac:dyDescent="0.25"/>
    <row r="135" ht="25.5" customHeight="1" x14ac:dyDescent="0.25"/>
    <row r="136" ht="25.5" customHeight="1" x14ac:dyDescent="0.25"/>
    <row r="137" ht="25.5" customHeight="1" x14ac:dyDescent="0.25"/>
    <row r="138" ht="25.5" customHeight="1" x14ac:dyDescent="0.25"/>
    <row r="139" ht="25.5" customHeight="1" x14ac:dyDescent="0.25"/>
    <row r="140" ht="25.5" customHeight="1" x14ac:dyDescent="0.25"/>
    <row r="141" ht="25.5" customHeight="1" x14ac:dyDescent="0.25"/>
    <row r="142" ht="25.5" customHeight="1" x14ac:dyDescent="0.25"/>
    <row r="143" ht="25.5" customHeight="1" x14ac:dyDescent="0.25"/>
    <row r="144" ht="25.5" customHeight="1" x14ac:dyDescent="0.25"/>
    <row r="145" ht="25.5" customHeight="1" x14ac:dyDescent="0.25"/>
    <row r="146" ht="25.5" customHeight="1" x14ac:dyDescent="0.25"/>
    <row r="147" ht="25.5" customHeight="1" x14ac:dyDescent="0.25"/>
    <row r="148" ht="25.5" customHeight="1" x14ac:dyDescent="0.25"/>
    <row r="149" ht="25.5" customHeight="1" x14ac:dyDescent="0.25"/>
    <row r="150" ht="25.5" customHeight="1" x14ac:dyDescent="0.25"/>
    <row r="151" ht="25.5" customHeight="1" x14ac:dyDescent="0.25"/>
    <row r="152" ht="25.5" customHeight="1" x14ac:dyDescent="0.25"/>
    <row r="153" ht="25.5" customHeight="1" x14ac:dyDescent="0.25"/>
    <row r="154" ht="25.5" customHeight="1" x14ac:dyDescent="0.25"/>
    <row r="155" ht="25.5" customHeight="1" x14ac:dyDescent="0.25"/>
    <row r="156" ht="25.5" customHeight="1" x14ac:dyDescent="0.25"/>
    <row r="157" ht="25.5" customHeight="1" x14ac:dyDescent="0.25"/>
    <row r="158" ht="25.5" customHeight="1" x14ac:dyDescent="0.25"/>
    <row r="159" ht="25.5" customHeight="1" x14ac:dyDescent="0.25"/>
    <row r="160" ht="25.5" customHeight="1" x14ac:dyDescent="0.25"/>
    <row r="161" spans="1:1" ht="25.5" customHeight="1" x14ac:dyDescent="0.25"/>
    <row r="162" spans="1:1" ht="25.5" customHeight="1" x14ac:dyDescent="0.25"/>
    <row r="163" spans="1:1" ht="25.5" customHeight="1" x14ac:dyDescent="0.25"/>
    <row r="164" spans="1:1" ht="25.5" customHeight="1" x14ac:dyDescent="0.25"/>
    <row r="165" spans="1:1" ht="25.5" customHeight="1" x14ac:dyDescent="0.25"/>
    <row r="166" spans="1:1" ht="25.5" customHeight="1" x14ac:dyDescent="0.25"/>
    <row r="167" spans="1:1" ht="25.5" customHeight="1" x14ac:dyDescent="0.25"/>
    <row r="168" spans="1:1" ht="25.5" customHeight="1" x14ac:dyDescent="0.25"/>
    <row r="169" spans="1:1" ht="25.5" customHeight="1" x14ac:dyDescent="0.25"/>
    <row r="170" spans="1:1" ht="25.5" customHeight="1" x14ac:dyDescent="0.25"/>
    <row r="171" spans="1:1" ht="25.5" customHeight="1" x14ac:dyDescent="0.25"/>
    <row r="172" spans="1:1" ht="25.5" customHeight="1" x14ac:dyDescent="0.25"/>
    <row r="173" spans="1:1" ht="25.5" customHeight="1" x14ac:dyDescent="0.25"/>
    <row r="174" spans="1:1" ht="25.5" customHeight="1" x14ac:dyDescent="0.25"/>
    <row r="175" spans="1:1" ht="25.5" customHeight="1" x14ac:dyDescent="0.25"/>
    <row r="176" spans="1:1" ht="25.5" customHeight="1" x14ac:dyDescent="0.25">
      <c r="A176" s="1"/>
    </row>
    <row r="177" spans="2:13" ht="46.5" customHeight="1" x14ac:dyDescent="0.25">
      <c r="B177" s="68"/>
      <c r="C177" s="68"/>
      <c r="E177" s="68"/>
      <c r="F177" s="68"/>
      <c r="G177" s="68"/>
      <c r="K177" s="33"/>
      <c r="L177" s="69"/>
      <c r="M177" s="68"/>
    </row>
    <row r="178" spans="2:13" ht="25.5" customHeight="1" x14ac:dyDescent="0.25"/>
    <row r="179" spans="2:13" ht="25.5" customHeight="1" x14ac:dyDescent="0.25"/>
    <row r="180" spans="2:13" ht="25.5" customHeight="1" x14ac:dyDescent="0.25"/>
    <row r="181" spans="2:13" ht="25.5" customHeight="1" x14ac:dyDescent="0.25"/>
    <row r="182" spans="2:13" ht="25.5" customHeight="1" x14ac:dyDescent="0.25"/>
    <row r="183" spans="2:13" ht="25.5" customHeight="1" x14ac:dyDescent="0.25"/>
    <row r="184" spans="2:13" ht="25.5" customHeight="1" x14ac:dyDescent="0.25"/>
    <row r="185" spans="2:13" ht="25.5" customHeight="1" x14ac:dyDescent="0.25"/>
    <row r="186" spans="2:13" ht="25.5" customHeight="1" x14ac:dyDescent="0.25"/>
    <row r="187" spans="2:13" ht="25.5" customHeight="1" x14ac:dyDescent="0.25"/>
    <row r="188" spans="2:13" ht="25.5" customHeight="1" x14ac:dyDescent="0.25"/>
    <row r="189" spans="2:13" ht="25.5" customHeight="1" x14ac:dyDescent="0.25"/>
    <row r="190" spans="2:13" ht="25.5" customHeight="1" x14ac:dyDescent="0.25"/>
    <row r="191" spans="2:13" ht="25.5" customHeight="1" x14ac:dyDescent="0.25"/>
    <row r="192" spans="2:13" ht="25.5" customHeight="1" x14ac:dyDescent="0.25"/>
    <row r="193" ht="25.5" customHeight="1" x14ac:dyDescent="0.25"/>
    <row r="194" ht="25.5" customHeight="1" x14ac:dyDescent="0.25"/>
    <row r="195" ht="25.5" customHeight="1" x14ac:dyDescent="0.25"/>
    <row r="196" ht="25.5" customHeight="1" x14ac:dyDescent="0.25"/>
    <row r="197" ht="25.5" customHeight="1" x14ac:dyDescent="0.25"/>
    <row r="198" ht="25.5" customHeight="1" x14ac:dyDescent="0.25"/>
    <row r="199" ht="25.5" customHeight="1" x14ac:dyDescent="0.25"/>
    <row r="200" ht="25.5" customHeight="1" x14ac:dyDescent="0.25"/>
    <row r="201" ht="25.5" customHeight="1" x14ac:dyDescent="0.25"/>
    <row r="202" ht="25.5" customHeight="1" x14ac:dyDescent="0.25"/>
    <row r="203" ht="25.5" customHeight="1" x14ac:dyDescent="0.25"/>
    <row r="204" ht="25.5" customHeight="1" x14ac:dyDescent="0.25"/>
  </sheetData>
  <mergeCells count="27">
    <mergeCell ref="B177:C177"/>
    <mergeCell ref="E177:G177"/>
    <mergeCell ref="L177:M177"/>
    <mergeCell ref="B8:C8"/>
    <mergeCell ref="E8:G8"/>
    <mergeCell ref="L8:M8"/>
    <mergeCell ref="B13:C13"/>
    <mergeCell ref="B23:C23"/>
    <mergeCell ref="E23:G23"/>
    <mergeCell ref="L23:M23"/>
    <mergeCell ref="B18:C18"/>
    <mergeCell ref="E18:G18"/>
    <mergeCell ref="L18:M18"/>
    <mergeCell ref="B38:C38"/>
    <mergeCell ref="E38:G38"/>
    <mergeCell ref="L38:M38"/>
    <mergeCell ref="B3:C3"/>
    <mergeCell ref="E3:G3"/>
    <mergeCell ref="L3:M3"/>
    <mergeCell ref="E13:G13"/>
    <mergeCell ref="L13:M13"/>
    <mergeCell ref="B28:C28"/>
    <mergeCell ref="E28:G28"/>
    <mergeCell ref="L28:M28"/>
    <mergeCell ref="B33:C33"/>
    <mergeCell ref="E33:G33"/>
    <mergeCell ref="L33:M33"/>
  </mergeCells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A81C-30D5-4373-AED3-529B9FF19776}">
  <dimension ref="A1:J452"/>
  <sheetViews>
    <sheetView topLeftCell="A16" workbookViewId="0">
      <selection activeCell="F207" sqref="F207"/>
    </sheetView>
  </sheetViews>
  <sheetFormatPr defaultRowHeight="15" x14ac:dyDescent="0.25"/>
  <cols>
    <col min="1" max="1" width="40.42578125" customWidth="1"/>
    <col min="2" max="2" width="20" customWidth="1"/>
    <col min="3" max="3" width="15.5703125" customWidth="1"/>
    <col min="4" max="4" width="15.28515625" customWidth="1"/>
    <col min="5" max="5" width="18.28515625" customWidth="1"/>
    <col min="6" max="6" width="20.85546875" customWidth="1"/>
    <col min="7" max="7" width="31.140625" customWidth="1"/>
    <col min="8" max="8" width="27.5703125" customWidth="1"/>
    <col min="9" max="9" width="14.85546875" customWidth="1"/>
    <col min="10" max="10" width="16" customWidth="1"/>
    <col min="11" max="11" width="14.28515625" customWidth="1"/>
    <col min="12" max="20" width="20" customWidth="1"/>
  </cols>
  <sheetData>
    <row r="1" spans="1:10" ht="25.5" customHeight="1" x14ac:dyDescent="0.25">
      <c r="A1" s="3" t="s">
        <v>20</v>
      </c>
    </row>
    <row r="2" spans="1:10" ht="34.5" customHeight="1" x14ac:dyDescent="0.25">
      <c r="A2" s="1" t="s">
        <v>116</v>
      </c>
      <c r="B2" s="68"/>
      <c r="C2" s="68"/>
      <c r="E2" s="68"/>
      <c r="F2" s="68"/>
      <c r="G2" s="68"/>
      <c r="I2" s="69"/>
      <c r="J2" s="68"/>
    </row>
    <row r="3" spans="1:10" ht="30.75" customHeight="1" x14ac:dyDescent="0.25">
      <c r="A3" s="1" t="s">
        <v>2</v>
      </c>
      <c r="B3" s="32" t="s">
        <v>117</v>
      </c>
      <c r="C3" s="49" t="s">
        <v>208</v>
      </c>
      <c r="D3" s="33"/>
      <c r="E3" s="32"/>
      <c r="F3" s="32"/>
      <c r="G3" s="32"/>
      <c r="I3" s="33"/>
      <c r="J3" s="32"/>
    </row>
    <row r="4" spans="1:10" ht="21.75" customHeight="1" x14ac:dyDescent="0.25">
      <c r="A4" s="4" t="s">
        <v>167</v>
      </c>
      <c r="B4" s="5">
        <f>420.95*105</f>
        <v>44199.75</v>
      </c>
      <c r="C4" s="40">
        <f>105/18.75</f>
        <v>5.6</v>
      </c>
      <c r="D4" s="40"/>
      <c r="E4" s="5"/>
      <c r="F4" s="32"/>
      <c r="G4" s="32"/>
      <c r="I4" s="33"/>
      <c r="J4" s="32"/>
    </row>
    <row r="5" spans="1:10" ht="21.75" customHeight="1" x14ac:dyDescent="0.25">
      <c r="A5" s="4" t="s">
        <v>168</v>
      </c>
      <c r="B5" s="5">
        <f>390.48*105</f>
        <v>41000.400000000001</v>
      </c>
      <c r="C5" s="40">
        <f t="shared" ref="C5" si="0">105/18.75</f>
        <v>5.6</v>
      </c>
      <c r="D5" s="40"/>
      <c r="E5" s="5"/>
      <c r="F5" s="32"/>
      <c r="G5" s="32"/>
      <c r="I5" s="33"/>
      <c r="J5" s="32"/>
    </row>
    <row r="6" spans="1:10" ht="34.5" customHeight="1" x14ac:dyDescent="0.25">
      <c r="A6" s="39" t="s">
        <v>203</v>
      </c>
      <c r="B6" s="5">
        <f>327.78*0</f>
        <v>0</v>
      </c>
      <c r="C6" s="40">
        <f>0/18.75</f>
        <v>0</v>
      </c>
      <c r="D6" s="40"/>
      <c r="E6" s="5"/>
      <c r="F6" s="32"/>
      <c r="G6" s="32"/>
      <c r="I6" s="33"/>
      <c r="J6" s="32"/>
    </row>
    <row r="7" spans="1:10" ht="47.25" customHeight="1" x14ac:dyDescent="0.25">
      <c r="A7" s="39" t="s">
        <v>179</v>
      </c>
      <c r="B7" s="5">
        <f>328.89*0</f>
        <v>0</v>
      </c>
      <c r="C7" s="40">
        <f>0/18.75</f>
        <v>0</v>
      </c>
      <c r="D7" s="40"/>
      <c r="E7" s="5"/>
      <c r="F7" s="32"/>
      <c r="G7" s="32"/>
      <c r="I7" s="33"/>
      <c r="J7" s="32"/>
    </row>
    <row r="8" spans="1:10" ht="35.25" customHeight="1" x14ac:dyDescent="0.25">
      <c r="A8" s="39" t="s">
        <v>204</v>
      </c>
      <c r="B8" s="5">
        <f>337.78*0</f>
        <v>0</v>
      </c>
      <c r="C8" s="40">
        <f>0/18.75</f>
        <v>0</v>
      </c>
      <c r="D8" s="40"/>
      <c r="E8" s="5"/>
      <c r="F8" s="32"/>
      <c r="G8" s="32"/>
      <c r="I8" s="33"/>
      <c r="J8" s="32"/>
    </row>
    <row r="9" spans="1:10" ht="21.75" customHeight="1" x14ac:dyDescent="0.25">
      <c r="A9" s="4" t="s">
        <v>192</v>
      </c>
      <c r="B9" s="5">
        <f>255.56*0</f>
        <v>0</v>
      </c>
      <c r="C9" s="40">
        <f>0/18.75</f>
        <v>0</v>
      </c>
      <c r="D9" s="40"/>
      <c r="E9" s="5"/>
      <c r="F9" s="32"/>
      <c r="G9" s="32"/>
      <c r="I9" s="33"/>
      <c r="J9" s="32"/>
    </row>
    <row r="10" spans="1:10" ht="21.75" customHeight="1" x14ac:dyDescent="0.25">
      <c r="A10" s="25" t="s">
        <v>193</v>
      </c>
      <c r="B10" s="5">
        <f>255.56*0</f>
        <v>0</v>
      </c>
      <c r="C10" s="40">
        <f>0/18.75</f>
        <v>0</v>
      </c>
      <c r="D10" s="40"/>
      <c r="E10" s="5"/>
      <c r="F10" s="32"/>
      <c r="G10" s="32"/>
      <c r="I10" s="33"/>
      <c r="J10" s="32"/>
    </row>
    <row r="11" spans="1:10" ht="36" customHeight="1" x14ac:dyDescent="0.25">
      <c r="A11" s="39" t="s">
        <v>176</v>
      </c>
      <c r="B11" s="5">
        <f>271.11*22.5</f>
        <v>6099.9750000000004</v>
      </c>
      <c r="C11" s="40">
        <f>22.5/18.75</f>
        <v>1.2</v>
      </c>
      <c r="D11" s="40"/>
      <c r="E11" s="5"/>
      <c r="F11" s="32"/>
      <c r="G11" s="32"/>
      <c r="I11" s="33"/>
      <c r="J11" s="32"/>
    </row>
    <row r="12" spans="1:10" ht="21.75" customHeight="1" x14ac:dyDescent="0.25">
      <c r="A12" s="4" t="s">
        <v>169</v>
      </c>
      <c r="B12" s="5">
        <f>378.79*66</f>
        <v>25000.140000000003</v>
      </c>
      <c r="C12" s="40">
        <f>66/18.75</f>
        <v>3.52</v>
      </c>
      <c r="D12" s="40"/>
      <c r="E12" s="5"/>
      <c r="F12" s="32"/>
      <c r="G12" s="32"/>
      <c r="I12" s="33"/>
      <c r="J12" s="32"/>
    </row>
    <row r="13" spans="1:10" ht="21.75" customHeight="1" x14ac:dyDescent="0.25">
      <c r="A13" s="18" t="s">
        <v>118</v>
      </c>
      <c r="B13" s="5">
        <f>10*0</f>
        <v>0</v>
      </c>
      <c r="C13" s="40">
        <f>0/18.75</f>
        <v>0</v>
      </c>
      <c r="D13" s="40"/>
      <c r="E13" s="5"/>
      <c r="F13" s="32"/>
      <c r="G13" s="32"/>
      <c r="I13" s="33"/>
      <c r="J13" s="32"/>
    </row>
    <row r="14" spans="1:10" ht="21.75" customHeight="1" x14ac:dyDescent="0.25">
      <c r="A14" s="1" t="s">
        <v>119</v>
      </c>
      <c r="B14" s="7">
        <f>SUM(B4:B13)</f>
        <v>116300.265</v>
      </c>
      <c r="C14" s="50">
        <f>SUM(C4:C13)</f>
        <v>15.919999999999998</v>
      </c>
      <c r="D14" s="50"/>
      <c r="E14" s="32"/>
      <c r="F14" s="32"/>
      <c r="G14" s="32"/>
      <c r="I14" s="33"/>
      <c r="J14" s="32"/>
    </row>
    <row r="15" spans="1:10" ht="21.75" customHeight="1" x14ac:dyDescent="0.25">
      <c r="A15" s="6" t="s">
        <v>98</v>
      </c>
      <c r="B15" s="32"/>
      <c r="C15" s="41"/>
      <c r="E15" s="32"/>
      <c r="F15" s="32"/>
      <c r="G15" s="32"/>
      <c r="I15" s="33"/>
      <c r="J15" s="32"/>
    </row>
    <row r="16" spans="1:10" ht="21.75" customHeight="1" x14ac:dyDescent="0.25">
      <c r="A16" s="4" t="s">
        <v>48</v>
      </c>
      <c r="B16" s="5">
        <v>4400</v>
      </c>
      <c r="C16" s="41"/>
      <c r="E16" s="32"/>
      <c r="F16" s="32"/>
      <c r="G16" s="32"/>
      <c r="I16" s="33"/>
      <c r="J16" s="32"/>
    </row>
    <row r="17" spans="1:10" ht="21.75" customHeight="1" x14ac:dyDescent="0.25">
      <c r="A17" s="4" t="s">
        <v>50</v>
      </c>
      <c r="B17" s="5">
        <v>4500</v>
      </c>
      <c r="C17" s="41"/>
      <c r="E17" s="32"/>
      <c r="F17" s="32"/>
      <c r="G17" s="32"/>
      <c r="I17" s="33"/>
      <c r="J17" s="32"/>
    </row>
    <row r="18" spans="1:10" ht="21.75" customHeight="1" x14ac:dyDescent="0.25">
      <c r="A18" s="1"/>
      <c r="B18" s="42">
        <f>SUM(B16:B17)</f>
        <v>8900</v>
      </c>
      <c r="C18" s="41"/>
      <c r="E18" s="32"/>
      <c r="F18" s="32"/>
      <c r="G18" s="32"/>
      <c r="I18" s="33"/>
      <c r="J18" s="32"/>
    </row>
    <row r="19" spans="1:10" ht="21.75" customHeight="1" x14ac:dyDescent="0.25">
      <c r="A19" s="1" t="s">
        <v>120</v>
      </c>
      <c r="B19" s="32" t="s">
        <v>124</v>
      </c>
      <c r="C19" s="32" t="s">
        <v>121</v>
      </c>
      <c r="D19" t="s">
        <v>122</v>
      </c>
      <c r="E19" s="32" t="s">
        <v>123</v>
      </c>
      <c r="F19" s="32"/>
      <c r="G19" s="32"/>
      <c r="I19" s="33"/>
      <c r="J19" s="32"/>
    </row>
    <row r="20" spans="1:10" ht="21.75" customHeight="1" x14ac:dyDescent="0.25">
      <c r="A20" s="25" t="s">
        <v>37</v>
      </c>
      <c r="B20" s="36">
        <v>7</v>
      </c>
      <c r="C20" s="26">
        <f>220*7</f>
        <v>1540</v>
      </c>
      <c r="D20" s="47">
        <v>1575</v>
      </c>
      <c r="E20" s="47">
        <v>787.5</v>
      </c>
      <c r="F20" s="32"/>
      <c r="G20" s="32"/>
      <c r="I20" s="33"/>
      <c r="J20" s="32"/>
    </row>
    <row r="21" spans="1:10" ht="21.75" customHeight="1" x14ac:dyDescent="0.25">
      <c r="A21" s="25" t="s">
        <v>67</v>
      </c>
      <c r="B21" s="25">
        <v>33</v>
      </c>
      <c r="C21" s="26">
        <v>7260</v>
      </c>
      <c r="D21" s="26">
        <v>8910</v>
      </c>
      <c r="E21" s="26">
        <v>1980</v>
      </c>
      <c r="F21" s="37"/>
      <c r="G21" s="37"/>
      <c r="I21" s="38"/>
      <c r="J21" s="37"/>
    </row>
    <row r="22" spans="1:10" ht="21.75" customHeight="1" x14ac:dyDescent="0.25">
      <c r="A22" s="25" t="s">
        <v>74</v>
      </c>
      <c r="B22" s="25">
        <v>33</v>
      </c>
      <c r="C22" s="26">
        <v>7260</v>
      </c>
      <c r="D22" s="26">
        <v>8910</v>
      </c>
      <c r="E22" s="26">
        <v>1980</v>
      </c>
      <c r="F22" s="37"/>
      <c r="G22" s="37"/>
      <c r="I22" s="38"/>
      <c r="J22" s="37"/>
    </row>
    <row r="23" spans="1:10" ht="21.75" customHeight="1" x14ac:dyDescent="0.25">
      <c r="A23" s="1"/>
      <c r="B23" s="42">
        <f>SUM(B20:B22)</f>
        <v>73</v>
      </c>
      <c r="C23" s="42">
        <f t="shared" ref="C23:E23" si="1">SUM(C20:C22)</f>
        <v>16060</v>
      </c>
      <c r="D23" s="42">
        <f t="shared" si="1"/>
        <v>19395</v>
      </c>
      <c r="E23" s="42">
        <f t="shared" si="1"/>
        <v>4747.5</v>
      </c>
      <c r="F23" s="32"/>
      <c r="G23" s="32"/>
      <c r="I23" s="33"/>
      <c r="J23" s="32"/>
    </row>
    <row r="24" spans="1:10" ht="21.75" customHeight="1" x14ac:dyDescent="0.25">
      <c r="A24" s="1" t="s">
        <v>13</v>
      </c>
      <c r="B24" s="32"/>
      <c r="C24" s="32"/>
      <c r="E24" s="32"/>
      <c r="F24" s="32"/>
      <c r="G24" s="32"/>
      <c r="I24" s="33"/>
      <c r="J24" s="32"/>
    </row>
    <row r="25" spans="1:10" ht="21.75" customHeight="1" x14ac:dyDescent="0.25">
      <c r="A25" s="25" t="s">
        <v>90</v>
      </c>
      <c r="B25" s="5">
        <v>600</v>
      </c>
      <c r="C25" s="37"/>
      <c r="E25" s="37"/>
      <c r="F25" s="37"/>
      <c r="G25" s="37"/>
      <c r="I25" s="38"/>
      <c r="J25" s="37"/>
    </row>
    <row r="26" spans="1:10" ht="30" customHeight="1" x14ac:dyDescent="0.25">
      <c r="A26" s="27" t="s">
        <v>91</v>
      </c>
      <c r="B26" s="5">
        <v>3750</v>
      </c>
      <c r="C26" s="37"/>
      <c r="E26" s="37"/>
      <c r="F26" s="37"/>
      <c r="G26" s="37"/>
      <c r="I26" s="38"/>
      <c r="J26" s="37"/>
    </row>
    <row r="27" spans="1:10" ht="30" customHeight="1" x14ac:dyDescent="0.25">
      <c r="A27" s="27" t="s">
        <v>92</v>
      </c>
      <c r="B27" s="5">
        <v>2750</v>
      </c>
      <c r="C27" s="37"/>
      <c r="E27" s="37"/>
      <c r="F27" s="37"/>
      <c r="G27" s="37"/>
      <c r="I27" s="38"/>
      <c r="J27" s="37"/>
    </row>
    <row r="28" spans="1:10" ht="21.75" customHeight="1" x14ac:dyDescent="0.25">
      <c r="A28" s="21" t="s">
        <v>94</v>
      </c>
      <c r="B28" s="22">
        <f>3200/7</f>
        <v>457.14285714285717</v>
      </c>
      <c r="C28" s="32"/>
      <c r="E28" s="32"/>
      <c r="F28" s="32"/>
      <c r="G28" s="32"/>
      <c r="I28" s="33"/>
      <c r="J28" s="32"/>
    </row>
    <row r="29" spans="1:10" ht="21.75" customHeight="1" x14ac:dyDescent="0.25">
      <c r="A29" s="4" t="s">
        <v>96</v>
      </c>
      <c r="B29" s="5">
        <f>500/7</f>
        <v>71.428571428571431</v>
      </c>
      <c r="C29" s="32"/>
      <c r="E29" s="32"/>
      <c r="F29" s="32"/>
      <c r="G29" s="32"/>
      <c r="I29" s="33"/>
      <c r="J29" s="32"/>
    </row>
    <row r="30" spans="1:10" ht="21.75" customHeight="1" x14ac:dyDescent="0.25">
      <c r="A30" s="4" t="s">
        <v>97</v>
      </c>
      <c r="B30" s="5">
        <f>2800/7</f>
        <v>400</v>
      </c>
      <c r="C30" s="32"/>
      <c r="E30" s="32"/>
      <c r="F30" s="32"/>
      <c r="G30" s="32"/>
      <c r="I30" s="33"/>
      <c r="J30" s="32"/>
    </row>
    <row r="31" spans="1:10" ht="21.75" customHeight="1" x14ac:dyDescent="0.25">
      <c r="A31" s="4" t="s">
        <v>95</v>
      </c>
      <c r="B31" s="5">
        <f>1000/7</f>
        <v>142.85714285714286</v>
      </c>
      <c r="C31" s="32"/>
      <c r="E31" s="32"/>
      <c r="F31" s="32"/>
      <c r="G31" s="32"/>
      <c r="I31" s="33"/>
      <c r="J31" s="32"/>
    </row>
    <row r="32" spans="1:10" ht="21.75" customHeight="1" x14ac:dyDescent="0.25">
      <c r="A32" s="1"/>
      <c r="B32" s="42">
        <f>SUM(B25:B31)</f>
        <v>8171.4285714285716</v>
      </c>
      <c r="C32" s="32"/>
      <c r="E32" s="32"/>
      <c r="F32" s="32"/>
      <c r="G32" s="32"/>
      <c r="I32" s="33"/>
      <c r="J32" s="32"/>
    </row>
    <row r="33" spans="1:10" ht="21.75" customHeight="1" x14ac:dyDescent="0.25">
      <c r="A33" s="6" t="s">
        <v>14</v>
      </c>
      <c r="B33" s="32"/>
      <c r="C33" s="32"/>
      <c r="E33" s="32"/>
      <c r="F33" s="32"/>
      <c r="G33" s="32"/>
      <c r="I33" s="33"/>
      <c r="J33" s="32"/>
    </row>
    <row r="34" spans="1:10" ht="21.75" customHeight="1" x14ac:dyDescent="0.25">
      <c r="A34" s="25" t="s">
        <v>99</v>
      </c>
      <c r="B34" s="26">
        <v>2850</v>
      </c>
      <c r="C34" s="32"/>
      <c r="E34" s="32"/>
      <c r="F34" s="32"/>
      <c r="G34" s="32"/>
      <c r="I34" s="33"/>
      <c r="J34" s="32"/>
    </row>
    <row r="35" spans="1:10" ht="35.25" customHeight="1" x14ac:dyDescent="0.25">
      <c r="A35" s="27" t="s">
        <v>146</v>
      </c>
      <c r="B35" s="26">
        <v>1800</v>
      </c>
      <c r="C35" s="37"/>
      <c r="E35" s="37"/>
      <c r="F35" s="37"/>
      <c r="G35" s="37"/>
      <c r="I35" s="38"/>
      <c r="J35" s="37"/>
    </row>
    <row r="36" spans="1:10" ht="29.25" customHeight="1" x14ac:dyDescent="0.25">
      <c r="A36" s="27" t="s">
        <v>103</v>
      </c>
      <c r="B36" s="26">
        <v>2700</v>
      </c>
      <c r="C36" s="37"/>
      <c r="E36" s="37"/>
      <c r="F36" s="37"/>
      <c r="G36" s="37"/>
      <c r="I36" s="38"/>
      <c r="J36" s="37"/>
    </row>
    <row r="37" spans="1:10" ht="21.75" customHeight="1" x14ac:dyDescent="0.25">
      <c r="A37" s="25" t="s">
        <v>110</v>
      </c>
      <c r="B37" s="26">
        <v>4455</v>
      </c>
      <c r="C37" s="37"/>
      <c r="E37" s="37"/>
      <c r="F37" s="37"/>
      <c r="G37" s="37"/>
      <c r="I37" s="38"/>
      <c r="J37" s="37"/>
    </row>
    <row r="38" spans="1:10" ht="29.25" customHeight="1" x14ac:dyDescent="0.25">
      <c r="A38" s="27" t="s">
        <v>101</v>
      </c>
      <c r="B38" s="26">
        <v>3600</v>
      </c>
      <c r="C38" s="37"/>
      <c r="E38" s="37"/>
      <c r="F38" s="37"/>
      <c r="G38" s="37"/>
      <c r="I38" s="38"/>
      <c r="J38" s="37"/>
    </row>
    <row r="39" spans="1:10" ht="21.75" customHeight="1" x14ac:dyDescent="0.25">
      <c r="A39" s="25" t="s">
        <v>104</v>
      </c>
      <c r="B39" s="26">
        <v>1600</v>
      </c>
      <c r="C39" s="37"/>
      <c r="G39" s="37"/>
      <c r="I39" s="38"/>
      <c r="J39" s="37"/>
    </row>
    <row r="40" spans="1:10" ht="26.25" customHeight="1" x14ac:dyDescent="0.25">
      <c r="A40" s="25" t="s">
        <v>111</v>
      </c>
      <c r="B40" s="26">
        <v>4455</v>
      </c>
      <c r="C40" s="37"/>
      <c r="G40" s="37"/>
      <c r="I40" s="38"/>
      <c r="J40" s="37"/>
    </row>
    <row r="41" spans="1:10" ht="36" customHeight="1" x14ac:dyDescent="0.25">
      <c r="A41" s="27" t="s">
        <v>146</v>
      </c>
      <c r="B41" s="26">
        <v>1800</v>
      </c>
      <c r="C41" s="37"/>
      <c r="G41" s="37"/>
      <c r="I41" s="38"/>
      <c r="J41" s="37"/>
    </row>
    <row r="42" spans="1:10" ht="29.25" customHeight="1" x14ac:dyDescent="0.25">
      <c r="A42" s="27" t="s">
        <v>102</v>
      </c>
      <c r="B42" s="26">
        <v>3600</v>
      </c>
      <c r="C42" s="37"/>
      <c r="G42" s="37"/>
      <c r="I42" s="38"/>
      <c r="J42" s="37"/>
    </row>
    <row r="43" spans="1:10" ht="31.5" customHeight="1" x14ac:dyDescent="0.25">
      <c r="A43" s="27" t="s">
        <v>105</v>
      </c>
      <c r="B43" s="26">
        <v>1600</v>
      </c>
      <c r="C43" s="37"/>
      <c r="E43" s="37"/>
      <c r="F43" s="37"/>
      <c r="G43" s="37"/>
      <c r="I43" s="38"/>
      <c r="J43" s="37"/>
    </row>
    <row r="44" spans="1:10" ht="21.75" customHeight="1" x14ac:dyDescent="0.25">
      <c r="A44" s="4" t="s">
        <v>42</v>
      </c>
      <c r="B44" s="5">
        <f>5000/7</f>
        <v>714.28571428571433</v>
      </c>
      <c r="C44" s="32"/>
      <c r="E44" s="32"/>
      <c r="F44" s="32"/>
      <c r="G44" s="32"/>
      <c r="I44" s="33"/>
      <c r="J44" s="32"/>
    </row>
    <row r="45" spans="1:10" ht="21.75" customHeight="1" x14ac:dyDescent="0.25">
      <c r="A45" s="4" t="s">
        <v>62</v>
      </c>
      <c r="B45" s="5">
        <f>2800/7</f>
        <v>400</v>
      </c>
      <c r="C45" s="32"/>
      <c r="E45" s="32"/>
      <c r="F45" s="32"/>
      <c r="G45" s="32"/>
      <c r="I45" s="33"/>
      <c r="J45" s="32"/>
    </row>
    <row r="46" spans="1:10" ht="21.75" customHeight="1" x14ac:dyDescent="0.25">
      <c r="A46" s="4" t="s">
        <v>44</v>
      </c>
      <c r="B46" s="5">
        <f>1000/7</f>
        <v>142.85714285714286</v>
      </c>
      <c r="C46" s="32"/>
      <c r="E46" s="32"/>
      <c r="F46" s="32"/>
      <c r="G46" s="32"/>
      <c r="I46" s="33"/>
      <c r="J46" s="32"/>
    </row>
    <row r="47" spans="1:10" ht="34.5" customHeight="1" x14ac:dyDescent="0.25">
      <c r="A47" s="4" t="s">
        <v>46</v>
      </c>
      <c r="B47" s="5">
        <f>2200/7</f>
        <v>314.28571428571428</v>
      </c>
      <c r="C47" s="4"/>
      <c r="D47" s="4"/>
      <c r="F47" s="33"/>
    </row>
    <row r="48" spans="1:10" ht="25.5" customHeight="1" x14ac:dyDescent="0.25">
      <c r="A48" s="4" t="s">
        <v>51</v>
      </c>
      <c r="B48" s="5">
        <f>65000/7</f>
        <v>9285.7142857142862</v>
      </c>
      <c r="C48" s="3"/>
      <c r="D48" s="3"/>
      <c r="E48" s="3"/>
      <c r="F48" s="3"/>
    </row>
    <row r="49" spans="1:7" ht="25.5" customHeight="1" x14ac:dyDescent="0.25">
      <c r="A49" s="4" t="s">
        <v>52</v>
      </c>
      <c r="B49" s="5">
        <f>400/7</f>
        <v>57.142857142857146</v>
      </c>
      <c r="C49" s="5"/>
      <c r="D49" s="5"/>
      <c r="E49" s="5"/>
      <c r="F49" s="4"/>
    </row>
    <row r="50" spans="1:7" ht="25.5" customHeight="1" x14ac:dyDescent="0.25">
      <c r="A50" s="4" t="s">
        <v>53</v>
      </c>
      <c r="B50" s="5">
        <f>6000/7</f>
        <v>857.14285714285711</v>
      </c>
      <c r="C50" s="5"/>
      <c r="D50" s="5"/>
      <c r="E50" s="5"/>
      <c r="F50" s="4"/>
    </row>
    <row r="51" spans="1:7" ht="25.5" customHeight="1" x14ac:dyDescent="0.25">
      <c r="A51" s="4" t="s">
        <v>54</v>
      </c>
      <c r="B51" s="5">
        <f>1400/7</f>
        <v>200</v>
      </c>
      <c r="C51" s="5"/>
      <c r="D51" s="5"/>
      <c r="E51" s="5"/>
      <c r="F51" s="4"/>
    </row>
    <row r="52" spans="1:7" ht="45" customHeight="1" x14ac:dyDescent="0.25">
      <c r="A52" s="4" t="s">
        <v>55</v>
      </c>
      <c r="B52" s="5">
        <f>5000/7</f>
        <v>714.28571428571433</v>
      </c>
      <c r="C52" s="5"/>
      <c r="D52" s="5"/>
      <c r="E52" s="5"/>
      <c r="F52" s="4"/>
    </row>
    <row r="53" spans="1:7" ht="30" customHeight="1" x14ac:dyDescent="0.25">
      <c r="A53" s="4" t="s">
        <v>56</v>
      </c>
      <c r="B53" s="5">
        <f>6300/7</f>
        <v>900</v>
      </c>
      <c r="C53" s="5"/>
      <c r="D53" s="5"/>
      <c r="E53" s="5"/>
      <c r="F53" s="4"/>
    </row>
    <row r="54" spans="1:7" ht="25.5" customHeight="1" x14ac:dyDescent="0.25">
      <c r="A54" s="4" t="s">
        <v>57</v>
      </c>
      <c r="B54" s="5">
        <f>250/7</f>
        <v>35.714285714285715</v>
      </c>
      <c r="C54" s="5"/>
      <c r="D54" s="5"/>
      <c r="E54" s="5"/>
      <c r="F54" s="4"/>
    </row>
    <row r="55" spans="1:7" ht="25.5" customHeight="1" x14ac:dyDescent="0.25">
      <c r="A55" s="21" t="s">
        <v>58</v>
      </c>
      <c r="B55" s="22">
        <f>4000/7</f>
        <v>571.42857142857144</v>
      </c>
      <c r="C55" s="26"/>
      <c r="D55" s="26"/>
      <c r="E55" s="26"/>
      <c r="F55" s="4"/>
    </row>
    <row r="56" spans="1:7" ht="30" customHeight="1" x14ac:dyDescent="0.25">
      <c r="A56" s="4" t="s">
        <v>59</v>
      </c>
      <c r="B56" s="5">
        <f>2500/7</f>
        <v>357.14285714285717</v>
      </c>
      <c r="C56" s="5"/>
      <c r="D56" s="5"/>
      <c r="E56" s="5"/>
      <c r="F56" s="4"/>
    </row>
    <row r="57" spans="1:7" ht="25.5" customHeight="1" x14ac:dyDescent="0.25">
      <c r="A57" s="4" t="s">
        <v>60</v>
      </c>
      <c r="B57" s="5">
        <f>480/7</f>
        <v>68.571428571428569</v>
      </c>
      <c r="C57" s="5"/>
      <c r="D57" s="5"/>
      <c r="E57" s="5"/>
      <c r="F57" s="4"/>
    </row>
    <row r="58" spans="1:7" ht="25.5" customHeight="1" x14ac:dyDescent="0.25">
      <c r="A58" s="4"/>
      <c r="B58" s="7">
        <f>SUM(B34:B57)</f>
        <v>43078.57142857142</v>
      </c>
      <c r="C58" s="5"/>
      <c r="D58" s="5"/>
      <c r="E58" s="5"/>
      <c r="F58" s="4"/>
    </row>
    <row r="59" spans="1:7" ht="25.5" customHeight="1" x14ac:dyDescent="0.25">
      <c r="A59" s="1" t="s">
        <v>126</v>
      </c>
      <c r="B59" s="42">
        <f>B14+B18+C23+D23+E23+B32+B58</f>
        <v>216652.76500000001</v>
      </c>
      <c r="C59" s="5"/>
      <c r="D59" s="5"/>
      <c r="E59" s="5"/>
      <c r="F59" s="4"/>
    </row>
    <row r="60" spans="1:7" ht="25.5" customHeight="1" x14ac:dyDescent="0.25">
      <c r="A60" s="1"/>
      <c r="B60" s="42"/>
      <c r="C60" s="5"/>
      <c r="D60" s="5"/>
      <c r="E60" s="5"/>
      <c r="F60" s="4"/>
    </row>
    <row r="61" spans="1:7" ht="25.5" customHeight="1" x14ac:dyDescent="0.25">
      <c r="A61" s="1" t="s">
        <v>125</v>
      </c>
      <c r="B61" s="68"/>
      <c r="C61" s="68"/>
      <c r="E61" s="68"/>
      <c r="F61" s="68"/>
      <c r="G61" s="68"/>
    </row>
    <row r="62" spans="1:7" ht="25.5" customHeight="1" x14ac:dyDescent="0.25">
      <c r="A62" s="1" t="s">
        <v>2</v>
      </c>
      <c r="B62" s="32" t="s">
        <v>117</v>
      </c>
      <c r="C62" s="49" t="s">
        <v>208</v>
      </c>
      <c r="D62" s="49"/>
      <c r="E62" s="32"/>
      <c r="F62" s="32"/>
      <c r="G62" s="32"/>
    </row>
    <row r="63" spans="1:7" ht="25.5" customHeight="1" x14ac:dyDescent="0.25">
      <c r="A63" s="4" t="s">
        <v>170</v>
      </c>
      <c r="B63" s="5">
        <f>420.95*15.75</f>
        <v>6629.9624999999996</v>
      </c>
      <c r="C63" s="40">
        <f>15.75/18.75</f>
        <v>0.84</v>
      </c>
      <c r="D63" s="40"/>
      <c r="E63" s="5"/>
      <c r="F63" s="32"/>
      <c r="G63" s="32"/>
    </row>
    <row r="64" spans="1:7" ht="25.5" customHeight="1" x14ac:dyDescent="0.25">
      <c r="A64" s="4" t="s">
        <v>171</v>
      </c>
      <c r="B64" s="5">
        <f>390.48*26.25</f>
        <v>10250.1</v>
      </c>
      <c r="C64" s="40">
        <f>26.25/18.75</f>
        <v>1.4</v>
      </c>
      <c r="D64" s="40"/>
      <c r="E64" s="5"/>
      <c r="F64" s="32"/>
      <c r="G64" s="32"/>
    </row>
    <row r="65" spans="1:7" ht="25.5" customHeight="1" x14ac:dyDescent="0.25">
      <c r="A65" s="39" t="s">
        <v>172</v>
      </c>
      <c r="B65" s="5">
        <f>327.78*9</f>
        <v>2950.0199999999995</v>
      </c>
      <c r="C65" s="40">
        <f>9/18.75</f>
        <v>0.48</v>
      </c>
      <c r="D65" s="40"/>
      <c r="E65" s="5"/>
      <c r="F65" s="32"/>
      <c r="G65" s="32"/>
    </row>
    <row r="66" spans="1:7" ht="30" customHeight="1" x14ac:dyDescent="0.25">
      <c r="A66" s="39" t="s">
        <v>173</v>
      </c>
      <c r="B66" s="5">
        <f>328.89*22.5</f>
        <v>7400.0249999999996</v>
      </c>
      <c r="C66" s="40">
        <f>22.5/18.75</f>
        <v>1.2</v>
      </c>
      <c r="D66" s="40"/>
      <c r="E66" s="5"/>
      <c r="F66" s="32"/>
      <c r="G66" s="32"/>
    </row>
    <row r="67" spans="1:7" ht="25.5" customHeight="1" x14ac:dyDescent="0.25">
      <c r="A67" s="39" t="s">
        <v>206</v>
      </c>
      <c r="B67" s="5">
        <f>337.78*16.87</f>
        <v>5698.3486000000003</v>
      </c>
      <c r="C67" s="40">
        <f>16.87/18.75</f>
        <v>0.89973333333333338</v>
      </c>
      <c r="D67" s="40"/>
      <c r="E67" s="5"/>
      <c r="F67" s="32"/>
      <c r="G67" s="32"/>
    </row>
    <row r="68" spans="1:7" ht="25.5" customHeight="1" x14ac:dyDescent="0.25">
      <c r="A68" s="4" t="s">
        <v>207</v>
      </c>
      <c r="B68" s="5">
        <f>255.56*16.87</f>
        <v>4311.2972</v>
      </c>
      <c r="C68" s="40">
        <f>16.87/18.75</f>
        <v>0.89973333333333338</v>
      </c>
      <c r="D68" s="40"/>
      <c r="E68" s="5"/>
      <c r="F68" s="32"/>
      <c r="G68" s="32"/>
    </row>
    <row r="69" spans="1:7" ht="25.5" customHeight="1" x14ac:dyDescent="0.25">
      <c r="A69" s="25" t="s">
        <v>175</v>
      </c>
      <c r="B69" s="5">
        <f>255.56*157.5</f>
        <v>40250.699999999997</v>
      </c>
      <c r="C69" s="40">
        <f>157.5/18.75</f>
        <v>8.4</v>
      </c>
      <c r="D69" s="40"/>
      <c r="E69" s="5"/>
      <c r="F69" s="32"/>
      <c r="G69" s="32"/>
    </row>
    <row r="70" spans="1:7" ht="25.5" customHeight="1" x14ac:dyDescent="0.25">
      <c r="A70" s="39" t="s">
        <v>176</v>
      </c>
      <c r="B70" s="5">
        <f>271.11*22.5</f>
        <v>6099.9750000000004</v>
      </c>
      <c r="C70" s="40">
        <f>22.5/18.75</f>
        <v>1.2</v>
      </c>
      <c r="D70" s="40"/>
      <c r="E70" s="5"/>
      <c r="F70" s="32"/>
      <c r="G70" s="32"/>
    </row>
    <row r="71" spans="1:7" ht="25.5" customHeight="1" x14ac:dyDescent="0.25">
      <c r="A71" s="4" t="s">
        <v>177</v>
      </c>
      <c r="B71" s="5">
        <f>378.79*16.5</f>
        <v>6250.0350000000008</v>
      </c>
      <c r="C71" s="40">
        <f>16.5/18.75</f>
        <v>0.88</v>
      </c>
      <c r="D71" s="40"/>
      <c r="E71" s="5"/>
      <c r="F71" s="32"/>
      <c r="G71" s="32"/>
    </row>
    <row r="72" spans="1:7" ht="25.5" customHeight="1" x14ac:dyDescent="0.25">
      <c r="A72" s="18" t="s">
        <v>118</v>
      </c>
      <c r="B72" s="5">
        <f>10*0</f>
        <v>0</v>
      </c>
      <c r="C72" s="40">
        <f>0/18.75</f>
        <v>0</v>
      </c>
      <c r="D72" s="40"/>
      <c r="E72" s="5"/>
      <c r="F72" s="32"/>
      <c r="G72" s="32"/>
    </row>
    <row r="73" spans="1:7" ht="25.5" customHeight="1" x14ac:dyDescent="0.25">
      <c r="A73" s="1" t="s">
        <v>119</v>
      </c>
      <c r="B73" s="7">
        <f>SUM(B63:B72)</f>
        <v>89840.463300000003</v>
      </c>
      <c r="C73" s="50">
        <f>SUM(C63:C72)</f>
        <v>16.199466666666666</v>
      </c>
      <c r="D73" s="50"/>
      <c r="E73" s="32"/>
      <c r="F73" s="32"/>
      <c r="G73" s="32"/>
    </row>
    <row r="74" spans="1:7" ht="25.5" customHeight="1" x14ac:dyDescent="0.25">
      <c r="A74" s="6" t="s">
        <v>98</v>
      </c>
      <c r="B74" s="32"/>
      <c r="C74" s="32"/>
      <c r="E74" s="32"/>
      <c r="F74" s="32"/>
      <c r="G74" s="32"/>
    </row>
    <row r="75" spans="1:7" ht="25.5" customHeight="1" x14ac:dyDescent="0.25">
      <c r="A75" s="21" t="s">
        <v>212</v>
      </c>
      <c r="B75" s="5">
        <v>24000</v>
      </c>
      <c r="C75" s="32"/>
      <c r="E75" s="32"/>
      <c r="F75" s="32"/>
      <c r="G75" s="32"/>
    </row>
    <row r="76" spans="1:7" ht="25.5" customHeight="1" x14ac:dyDescent="0.25">
      <c r="A76" s="1"/>
      <c r="B76" s="42">
        <f>SUM(B75:B75)</f>
        <v>24000</v>
      </c>
      <c r="C76" s="32"/>
      <c r="E76" s="32"/>
      <c r="F76" s="32"/>
      <c r="G76" s="32"/>
    </row>
    <row r="77" spans="1:7" ht="25.5" customHeight="1" x14ac:dyDescent="0.25">
      <c r="A77" s="1" t="s">
        <v>120</v>
      </c>
      <c r="B77" s="32" t="s">
        <v>124</v>
      </c>
      <c r="C77" s="32" t="s">
        <v>121</v>
      </c>
      <c r="D77" t="s">
        <v>122</v>
      </c>
      <c r="E77" s="32" t="s">
        <v>123</v>
      </c>
      <c r="F77" s="32"/>
      <c r="G77" s="32"/>
    </row>
    <row r="78" spans="1:7" ht="25.5" customHeight="1" x14ac:dyDescent="0.25">
      <c r="A78" s="25" t="s">
        <v>73</v>
      </c>
      <c r="B78" s="25">
        <v>30</v>
      </c>
      <c r="C78" s="26">
        <v>6600</v>
      </c>
      <c r="D78" s="26">
        <v>8100</v>
      </c>
      <c r="E78" s="26">
        <v>1800</v>
      </c>
      <c r="F78" s="32"/>
      <c r="G78" s="32"/>
    </row>
    <row r="79" spans="1:7" ht="25.5" customHeight="1" x14ac:dyDescent="0.25">
      <c r="A79" s="1"/>
      <c r="B79" s="42">
        <f>SUM(B78)</f>
        <v>30</v>
      </c>
      <c r="C79" s="42">
        <f t="shared" ref="C79" si="2">SUM(C78)</f>
        <v>6600</v>
      </c>
      <c r="D79" s="42">
        <f t="shared" ref="D79" si="3">SUM(D78)</f>
        <v>8100</v>
      </c>
      <c r="E79" s="42">
        <f t="shared" ref="E79" si="4">SUM(E78)</f>
        <v>1800</v>
      </c>
      <c r="F79" s="32"/>
      <c r="G79" s="32"/>
    </row>
    <row r="80" spans="1:7" ht="25.5" customHeight="1" x14ac:dyDescent="0.25">
      <c r="A80" s="1" t="s">
        <v>13</v>
      </c>
      <c r="B80" s="32"/>
      <c r="C80" s="32"/>
      <c r="E80" s="32"/>
      <c r="F80" s="32"/>
      <c r="G80" s="32"/>
    </row>
    <row r="81" spans="1:8" ht="25.5" customHeight="1" x14ac:dyDescent="0.25">
      <c r="A81" s="21" t="s">
        <v>94</v>
      </c>
      <c r="B81" s="22">
        <f>3200/7</f>
        <v>457.14285714285717</v>
      </c>
      <c r="C81" s="32"/>
      <c r="E81" s="32"/>
      <c r="F81" s="32"/>
      <c r="G81" s="32"/>
    </row>
    <row r="82" spans="1:8" ht="25.5" customHeight="1" x14ac:dyDescent="0.25">
      <c r="A82" s="4" t="s">
        <v>96</v>
      </c>
      <c r="B82" s="5">
        <f>500/7</f>
        <v>71.428571428571431</v>
      </c>
      <c r="C82" s="32"/>
      <c r="E82" s="32"/>
      <c r="F82" s="32"/>
      <c r="G82" s="32"/>
    </row>
    <row r="83" spans="1:8" ht="25.5" customHeight="1" x14ac:dyDescent="0.25">
      <c r="A83" s="4" t="s">
        <v>97</v>
      </c>
      <c r="B83" s="5">
        <f>2800/7</f>
        <v>400</v>
      </c>
      <c r="C83" s="32"/>
      <c r="E83" s="32"/>
      <c r="F83" s="32"/>
      <c r="G83" s="32"/>
    </row>
    <row r="84" spans="1:8" ht="25.5" customHeight="1" x14ac:dyDescent="0.25">
      <c r="A84" s="4" t="s">
        <v>95</v>
      </c>
      <c r="B84" s="5">
        <f>1000/7</f>
        <v>142.85714285714286</v>
      </c>
      <c r="C84" s="32"/>
      <c r="E84" s="32"/>
      <c r="F84" s="32"/>
      <c r="G84" s="32"/>
    </row>
    <row r="85" spans="1:8" ht="25.5" customHeight="1" x14ac:dyDescent="0.25">
      <c r="A85" s="1"/>
      <c r="B85" s="42">
        <f>SUM(B81:B84)</f>
        <v>1071.4285714285713</v>
      </c>
      <c r="C85" s="32"/>
      <c r="E85" s="32"/>
      <c r="F85" s="32"/>
      <c r="G85" s="32"/>
    </row>
    <row r="86" spans="1:8" ht="25.5" customHeight="1" x14ac:dyDescent="0.25">
      <c r="A86" s="6" t="s">
        <v>14</v>
      </c>
      <c r="B86" s="32"/>
      <c r="C86" s="32"/>
      <c r="E86" s="32"/>
      <c r="F86" s="32"/>
      <c r="G86" s="32"/>
    </row>
    <row r="87" spans="1:8" ht="25.5" customHeight="1" x14ac:dyDescent="0.25">
      <c r="A87" s="27" t="s">
        <v>107</v>
      </c>
      <c r="B87" s="26">
        <v>900</v>
      </c>
      <c r="C87" s="37"/>
      <c r="E87" s="37"/>
      <c r="F87" s="37"/>
      <c r="G87" s="37"/>
    </row>
    <row r="88" spans="1:8" ht="25.5" customHeight="1" x14ac:dyDescent="0.25">
      <c r="A88" s="25" t="s">
        <v>166</v>
      </c>
      <c r="B88" s="26">
        <v>4050</v>
      </c>
      <c r="C88" s="46"/>
      <c r="E88" s="46"/>
      <c r="F88" s="46"/>
      <c r="G88" s="46"/>
    </row>
    <row r="89" spans="1:8" ht="25.5" customHeight="1" x14ac:dyDescent="0.25">
      <c r="A89" s="4" t="s">
        <v>42</v>
      </c>
      <c r="B89" s="5">
        <f>5000/7</f>
        <v>714.28571428571433</v>
      </c>
      <c r="C89" s="32"/>
      <c r="E89" s="32"/>
      <c r="F89" s="32"/>
      <c r="G89" s="32"/>
    </row>
    <row r="90" spans="1:8" ht="25.5" customHeight="1" x14ac:dyDescent="0.25">
      <c r="A90" s="4" t="s">
        <v>62</v>
      </c>
      <c r="B90" s="5">
        <f>2800/7</f>
        <v>400</v>
      </c>
      <c r="C90" s="32"/>
      <c r="E90" s="32"/>
      <c r="F90" s="32"/>
      <c r="G90" s="32"/>
    </row>
    <row r="91" spans="1:8" ht="25.5" customHeight="1" x14ac:dyDescent="0.25">
      <c r="A91" s="4" t="s">
        <v>44</v>
      </c>
      <c r="B91" s="5">
        <f>1000/7</f>
        <v>142.85714285714286</v>
      </c>
      <c r="C91" s="32"/>
      <c r="E91" s="32"/>
      <c r="F91" s="32"/>
      <c r="G91" s="32"/>
    </row>
    <row r="92" spans="1:8" ht="25.5" customHeight="1" x14ac:dyDescent="0.25">
      <c r="A92" s="4" t="s">
        <v>46</v>
      </c>
      <c r="B92" s="5">
        <f>2200/7</f>
        <v>314.28571428571428</v>
      </c>
      <c r="C92" s="4"/>
      <c r="D92" s="4"/>
      <c r="F92" s="33"/>
    </row>
    <row r="93" spans="1:8" ht="25.5" customHeight="1" x14ac:dyDescent="0.25">
      <c r="A93" s="4" t="s">
        <v>51</v>
      </c>
      <c r="B93" s="5">
        <f>65000/7</f>
        <v>9285.7142857142862</v>
      </c>
      <c r="C93" s="3"/>
      <c r="D93" s="3"/>
      <c r="E93" s="3"/>
      <c r="F93" s="3"/>
    </row>
    <row r="94" spans="1:8" ht="25.5" customHeight="1" x14ac:dyDescent="0.25">
      <c r="A94" s="4" t="s">
        <v>52</v>
      </c>
      <c r="B94" s="5">
        <f>400/7</f>
        <v>57.142857142857146</v>
      </c>
      <c r="C94" s="5"/>
      <c r="D94" s="5"/>
      <c r="E94" s="5"/>
      <c r="F94" s="4"/>
    </row>
    <row r="95" spans="1:8" ht="25.5" customHeight="1" x14ac:dyDescent="0.25">
      <c r="A95" s="4" t="s">
        <v>53</v>
      </c>
      <c r="B95" s="5">
        <f>6000/7</f>
        <v>857.14285714285711</v>
      </c>
      <c r="C95" s="5"/>
      <c r="D95" s="5"/>
      <c r="E95" s="5"/>
      <c r="F95" s="4"/>
    </row>
    <row r="96" spans="1:8" s="20" customFormat="1" ht="30.75" customHeight="1" x14ac:dyDescent="0.25">
      <c r="A96" s="4" t="s">
        <v>54</v>
      </c>
      <c r="B96" s="5">
        <f>1400/7</f>
        <v>200</v>
      </c>
      <c r="C96" s="5"/>
      <c r="D96" s="5"/>
      <c r="E96" s="5"/>
      <c r="F96" s="4"/>
      <c r="G96"/>
      <c r="H96" s="31"/>
    </row>
    <row r="97" spans="1:8" ht="25.5" customHeight="1" x14ac:dyDescent="0.25">
      <c r="A97" s="4" t="s">
        <v>55</v>
      </c>
      <c r="B97" s="5">
        <f>5000/7</f>
        <v>714.28571428571433</v>
      </c>
      <c r="C97" s="5"/>
      <c r="D97" s="5"/>
      <c r="E97" s="5"/>
      <c r="F97" s="4"/>
    </row>
    <row r="98" spans="1:8" ht="25.5" customHeight="1" x14ac:dyDescent="0.25">
      <c r="A98" s="4" t="s">
        <v>56</v>
      </c>
      <c r="B98" s="5">
        <f>6300/7</f>
        <v>900</v>
      </c>
      <c r="C98" s="5"/>
      <c r="D98" s="5"/>
      <c r="E98" s="5"/>
      <c r="F98" s="4"/>
    </row>
    <row r="99" spans="1:8" ht="25.5" customHeight="1" x14ac:dyDescent="0.25">
      <c r="A99" s="4" t="s">
        <v>57</v>
      </c>
      <c r="B99" s="5">
        <f>250/7</f>
        <v>35.714285714285715</v>
      </c>
      <c r="C99" s="5"/>
      <c r="D99" s="5"/>
      <c r="E99" s="5"/>
      <c r="F99" s="4"/>
    </row>
    <row r="100" spans="1:8" ht="25.5" customHeight="1" x14ac:dyDescent="0.25">
      <c r="A100" s="21" t="s">
        <v>58</v>
      </c>
      <c r="B100" s="22">
        <f>4000/7</f>
        <v>571.42857142857144</v>
      </c>
      <c r="C100" s="26"/>
      <c r="D100" s="26"/>
      <c r="E100" s="26"/>
      <c r="F100" s="4"/>
    </row>
    <row r="101" spans="1:8" ht="25.5" customHeight="1" x14ac:dyDescent="0.25">
      <c r="A101" s="4" t="s">
        <v>59</v>
      </c>
      <c r="B101" s="5">
        <f>2500/7</f>
        <v>357.14285714285717</v>
      </c>
      <c r="C101" s="5"/>
      <c r="D101" s="5"/>
      <c r="E101" s="5"/>
      <c r="F101" s="4"/>
    </row>
    <row r="102" spans="1:8" ht="25.5" customHeight="1" x14ac:dyDescent="0.25">
      <c r="A102" s="4" t="s">
        <v>60</v>
      </c>
      <c r="B102" s="5">
        <f>480/7</f>
        <v>68.571428571428569</v>
      </c>
      <c r="C102" s="5"/>
      <c r="D102" s="5"/>
      <c r="E102" s="5"/>
      <c r="F102" s="4"/>
    </row>
    <row r="103" spans="1:8" ht="25.5" customHeight="1" x14ac:dyDescent="0.25">
      <c r="A103" s="4"/>
      <c r="B103" s="7">
        <f>SUM(B87:B102)</f>
        <v>19568.571428571431</v>
      </c>
      <c r="C103" s="5"/>
      <c r="D103" s="5"/>
      <c r="E103" s="5"/>
      <c r="F103" s="4"/>
    </row>
    <row r="104" spans="1:8" ht="25.5" customHeight="1" x14ac:dyDescent="0.25">
      <c r="A104" s="1" t="s">
        <v>127</v>
      </c>
      <c r="B104" s="42">
        <f>B73+B76+C79+D79+E79+B85+B103</f>
        <v>150980.4633</v>
      </c>
      <c r="C104" s="5"/>
      <c r="D104" s="5"/>
      <c r="E104" s="5"/>
      <c r="F104" s="4"/>
    </row>
    <row r="105" spans="1:8" ht="25.5" customHeight="1" x14ac:dyDescent="0.25">
      <c r="A105" s="1"/>
      <c r="B105" s="42"/>
      <c r="C105" s="5"/>
      <c r="D105" s="5"/>
      <c r="E105" s="5"/>
      <c r="F105" s="4"/>
    </row>
    <row r="106" spans="1:8" ht="25.5" customHeight="1" x14ac:dyDescent="0.25">
      <c r="A106" s="1" t="s">
        <v>128</v>
      </c>
      <c r="B106" s="68"/>
      <c r="C106" s="68"/>
      <c r="E106" s="68"/>
      <c r="F106" s="68"/>
      <c r="G106" s="68"/>
      <c r="H106" s="3"/>
    </row>
    <row r="107" spans="1:8" ht="25.5" customHeight="1" x14ac:dyDescent="0.25">
      <c r="A107" s="1" t="s">
        <v>2</v>
      </c>
      <c r="B107" s="32" t="s">
        <v>117</v>
      </c>
      <c r="C107" s="49" t="s">
        <v>208</v>
      </c>
      <c r="D107" s="49"/>
      <c r="E107" s="32"/>
      <c r="F107" s="32"/>
      <c r="G107" s="32"/>
      <c r="H107" s="25"/>
    </row>
    <row r="108" spans="1:8" s="1" customFormat="1" ht="25.5" customHeight="1" x14ac:dyDescent="0.25">
      <c r="A108" s="4" t="s">
        <v>170</v>
      </c>
      <c r="B108" s="5">
        <f>420.95*15.75</f>
        <v>6629.9624999999996</v>
      </c>
      <c r="C108" s="40">
        <f>15.75/18.75</f>
        <v>0.84</v>
      </c>
      <c r="D108" s="40"/>
      <c r="E108" s="5"/>
      <c r="F108" s="32"/>
      <c r="G108" s="32"/>
      <c r="H108" s="25"/>
    </row>
    <row r="109" spans="1:8" ht="45" customHeight="1" x14ac:dyDescent="0.25">
      <c r="A109" s="4" t="s">
        <v>130</v>
      </c>
      <c r="B109" s="5">
        <f>390.48*0</f>
        <v>0</v>
      </c>
      <c r="C109" s="40">
        <f>0/18.75</f>
        <v>0</v>
      </c>
      <c r="D109" s="40"/>
      <c r="E109" s="5"/>
      <c r="F109" s="32"/>
      <c r="G109" s="32"/>
      <c r="H109" s="27"/>
    </row>
    <row r="110" spans="1:8" ht="25.5" customHeight="1" x14ac:dyDescent="0.25">
      <c r="A110" s="39" t="s">
        <v>178</v>
      </c>
      <c r="B110" s="5">
        <f>327.78*4.5</f>
        <v>1475.0099999999998</v>
      </c>
      <c r="C110" s="40">
        <f>4.5/18.75</f>
        <v>0.24</v>
      </c>
      <c r="D110" s="40"/>
      <c r="E110" s="5"/>
      <c r="F110" s="32"/>
      <c r="G110" s="32"/>
      <c r="H110" s="25"/>
    </row>
    <row r="111" spans="1:8" ht="25.5" customHeight="1" x14ac:dyDescent="0.25">
      <c r="A111" s="39" t="s">
        <v>179</v>
      </c>
      <c r="B111" s="5">
        <f>328.89*0</f>
        <v>0</v>
      </c>
      <c r="C111" s="40">
        <f>0/18.75</f>
        <v>0</v>
      </c>
      <c r="D111" s="40"/>
      <c r="E111" s="5"/>
      <c r="F111" s="32"/>
      <c r="G111" s="32"/>
      <c r="H111" s="25"/>
    </row>
    <row r="112" spans="1:8" s="14" customFormat="1" ht="25.5" customHeight="1" x14ac:dyDescent="0.25">
      <c r="A112" s="39" t="s">
        <v>206</v>
      </c>
      <c r="B112" s="5">
        <f>337.78*16.87</f>
        <v>5698.3486000000003</v>
      </c>
      <c r="C112" s="40">
        <f>16.87/18.75</f>
        <v>0.89973333333333338</v>
      </c>
      <c r="D112" s="40"/>
      <c r="E112" s="5"/>
      <c r="F112" s="32"/>
      <c r="G112" s="32"/>
      <c r="H112" s="28"/>
    </row>
    <row r="113" spans="1:8" ht="25.5" customHeight="1" x14ac:dyDescent="0.25">
      <c r="A113" s="4" t="s">
        <v>180</v>
      </c>
      <c r="B113" s="5">
        <f>255.56*157.5</f>
        <v>40250.699999999997</v>
      </c>
      <c r="C113" s="40">
        <f>157.5/18.75</f>
        <v>8.4</v>
      </c>
      <c r="D113" s="40"/>
      <c r="E113" s="5"/>
      <c r="F113" s="32"/>
      <c r="G113" s="32"/>
      <c r="H113" s="25"/>
    </row>
    <row r="114" spans="1:8" ht="25.5" customHeight="1" x14ac:dyDescent="0.25">
      <c r="A114" s="25" t="s">
        <v>181</v>
      </c>
      <c r="B114" s="5">
        <f>255.56*33.75</f>
        <v>8625.15</v>
      </c>
      <c r="C114" s="40">
        <f>33.75/18.75</f>
        <v>1.8</v>
      </c>
      <c r="D114" s="40"/>
      <c r="E114" s="5"/>
      <c r="F114" s="32"/>
      <c r="G114" s="32"/>
      <c r="H114" s="4"/>
    </row>
    <row r="115" spans="1:8" ht="25.5" customHeight="1" x14ac:dyDescent="0.25">
      <c r="A115" s="39" t="s">
        <v>182</v>
      </c>
      <c r="B115" s="5">
        <f>271.11*11.25</f>
        <v>3049.9875000000002</v>
      </c>
      <c r="C115" s="40">
        <f>11.25/18.75</f>
        <v>0.6</v>
      </c>
      <c r="D115" s="40"/>
      <c r="E115" s="5"/>
      <c r="F115" s="32"/>
      <c r="G115" s="32"/>
      <c r="H115" s="4"/>
    </row>
    <row r="116" spans="1:8" ht="25.5" customHeight="1" x14ac:dyDescent="0.25">
      <c r="A116" s="4" t="s">
        <v>131</v>
      </c>
      <c r="B116" s="5">
        <f>378.79*0</f>
        <v>0</v>
      </c>
      <c r="C116" s="40">
        <f>0/18.75</f>
        <v>0</v>
      </c>
      <c r="D116" s="40"/>
      <c r="E116" s="5"/>
      <c r="F116" s="32"/>
      <c r="G116" s="32"/>
      <c r="H116" s="4"/>
    </row>
    <row r="117" spans="1:8" s="14" customFormat="1" ht="25.5" customHeight="1" x14ac:dyDescent="0.25">
      <c r="A117" s="18" t="s">
        <v>205</v>
      </c>
      <c r="B117" s="5">
        <f>10*15</f>
        <v>150</v>
      </c>
      <c r="C117" s="40">
        <f>15/18.75</f>
        <v>0.8</v>
      </c>
      <c r="D117" s="40"/>
      <c r="E117" s="5"/>
      <c r="F117" s="32"/>
      <c r="G117" s="32"/>
      <c r="H117" s="13"/>
    </row>
    <row r="118" spans="1:8" ht="25.5" customHeight="1" x14ac:dyDescent="0.25">
      <c r="A118" s="1" t="s">
        <v>119</v>
      </c>
      <c r="B118" s="7">
        <f>SUM(B108:B117)</f>
        <v>65879.158599999995</v>
      </c>
      <c r="C118" s="50">
        <f>SUM(C108:C117)</f>
        <v>13.579733333333335</v>
      </c>
      <c r="D118" s="50"/>
      <c r="E118" s="32"/>
      <c r="F118" s="32"/>
      <c r="G118" s="32"/>
      <c r="H118" s="4"/>
    </row>
    <row r="119" spans="1:8" s="24" customFormat="1" ht="48.75" customHeight="1" x14ac:dyDescent="0.25">
      <c r="A119" s="6" t="s">
        <v>98</v>
      </c>
      <c r="B119" s="32"/>
      <c r="C119" s="32"/>
      <c r="D119"/>
      <c r="E119" s="32"/>
      <c r="F119" s="32"/>
      <c r="G119" s="32"/>
      <c r="H119" s="23"/>
    </row>
    <row r="120" spans="1:8" ht="25.5" customHeight="1" x14ac:dyDescent="0.25">
      <c r="A120" s="4"/>
      <c r="B120" s="5"/>
      <c r="C120" s="32"/>
      <c r="E120" s="32"/>
      <c r="F120" s="32"/>
      <c r="G120" s="32"/>
      <c r="H120" s="5"/>
    </row>
    <row r="121" spans="1:8" ht="25.5" customHeight="1" x14ac:dyDescent="0.25">
      <c r="A121" s="1"/>
      <c r="B121" s="42">
        <f>SUM(B120:B120)</f>
        <v>0</v>
      </c>
      <c r="C121" s="32"/>
      <c r="E121" s="32"/>
      <c r="F121" s="32"/>
      <c r="G121" s="32"/>
      <c r="H121" s="5"/>
    </row>
    <row r="122" spans="1:8" ht="25.5" customHeight="1" x14ac:dyDescent="0.25">
      <c r="A122" s="1" t="s">
        <v>120</v>
      </c>
      <c r="B122" s="32" t="s">
        <v>124</v>
      </c>
      <c r="C122" s="32" t="s">
        <v>121</v>
      </c>
      <c r="D122" t="s">
        <v>122</v>
      </c>
      <c r="E122" s="32" t="s">
        <v>123</v>
      </c>
      <c r="F122" s="32"/>
      <c r="G122" s="32"/>
      <c r="H122" s="5"/>
    </row>
    <row r="123" spans="1:8" ht="25.5" customHeight="1" x14ac:dyDescent="0.25">
      <c r="A123" s="25"/>
      <c r="B123" s="25"/>
      <c r="C123" s="26"/>
      <c r="D123" s="26"/>
      <c r="E123" s="26"/>
      <c r="F123" s="32"/>
      <c r="G123" s="32"/>
      <c r="H123" s="5"/>
    </row>
    <row r="124" spans="1:8" ht="34.5" customHeight="1" x14ac:dyDescent="0.25">
      <c r="A124" s="1"/>
      <c r="B124" s="42">
        <f>SUM(B123)</f>
        <v>0</v>
      </c>
      <c r="C124" s="42">
        <f t="shared" ref="C124:E124" si="5">SUM(C123)</f>
        <v>0</v>
      </c>
      <c r="D124" s="42">
        <f t="shared" si="5"/>
        <v>0</v>
      </c>
      <c r="E124" s="42">
        <f t="shared" si="5"/>
        <v>0</v>
      </c>
      <c r="F124" s="32"/>
      <c r="G124" s="32"/>
      <c r="H124" s="5"/>
    </row>
    <row r="125" spans="1:8" ht="30" customHeight="1" x14ac:dyDescent="0.25">
      <c r="A125" s="1" t="s">
        <v>13</v>
      </c>
      <c r="B125" s="32"/>
      <c r="C125" s="32"/>
      <c r="E125" s="32"/>
      <c r="F125" s="32"/>
      <c r="G125" s="32"/>
      <c r="H125" s="5"/>
    </row>
    <row r="126" spans="1:8" ht="25.5" customHeight="1" x14ac:dyDescent="0.25">
      <c r="A126" s="21" t="s">
        <v>94</v>
      </c>
      <c r="B126" s="22">
        <f>3200/7</f>
        <v>457.14285714285717</v>
      </c>
      <c r="C126" s="32"/>
      <c r="E126" s="32"/>
      <c r="F126" s="32"/>
      <c r="G126" s="32"/>
      <c r="H126" s="5"/>
    </row>
    <row r="127" spans="1:8" ht="25.5" customHeight="1" x14ac:dyDescent="0.25">
      <c r="A127" s="4" t="s">
        <v>96</v>
      </c>
      <c r="B127" s="5">
        <f>500/7</f>
        <v>71.428571428571431</v>
      </c>
      <c r="C127" s="32"/>
      <c r="E127" s="32"/>
      <c r="F127" s="32"/>
      <c r="G127" s="32"/>
      <c r="H127" s="5"/>
    </row>
    <row r="128" spans="1:8" ht="25.5" customHeight="1" x14ac:dyDescent="0.25">
      <c r="A128" s="4" t="s">
        <v>97</v>
      </c>
      <c r="B128" s="5">
        <f>2800/7</f>
        <v>400</v>
      </c>
      <c r="C128" s="32"/>
      <c r="E128" s="32"/>
      <c r="F128" s="32"/>
      <c r="G128" s="32"/>
      <c r="H128" s="5"/>
    </row>
    <row r="129" spans="1:8" ht="25.5" customHeight="1" x14ac:dyDescent="0.25">
      <c r="A129" s="4" t="s">
        <v>95</v>
      </c>
      <c r="B129" s="5">
        <f>1000/7</f>
        <v>142.85714285714286</v>
      </c>
      <c r="C129" s="32"/>
      <c r="E129" s="32"/>
      <c r="F129" s="32"/>
      <c r="G129" s="32"/>
      <c r="H129" s="5"/>
    </row>
    <row r="130" spans="1:8" ht="25.5" customHeight="1" x14ac:dyDescent="0.25">
      <c r="A130" s="1"/>
      <c r="B130" s="42">
        <f>SUM(B126:B129)</f>
        <v>1071.4285714285713</v>
      </c>
      <c r="C130" s="32"/>
      <c r="E130" s="32"/>
      <c r="F130" s="32"/>
      <c r="G130" s="32"/>
      <c r="H130" s="5"/>
    </row>
    <row r="131" spans="1:8" ht="25.5" customHeight="1" x14ac:dyDescent="0.25">
      <c r="A131" s="6" t="s">
        <v>14</v>
      </c>
      <c r="B131" s="32"/>
      <c r="C131" s="32"/>
      <c r="E131" s="32"/>
      <c r="F131" s="32"/>
      <c r="G131" s="32"/>
      <c r="H131" s="5"/>
    </row>
    <row r="132" spans="1:8" ht="34.5" customHeight="1" x14ac:dyDescent="0.25">
      <c r="A132" s="4" t="s">
        <v>42</v>
      </c>
      <c r="B132" s="5">
        <f>5000/7</f>
        <v>714.28571428571433</v>
      </c>
      <c r="C132" s="32"/>
      <c r="E132" s="32"/>
      <c r="F132" s="32"/>
      <c r="G132" s="32"/>
    </row>
    <row r="133" spans="1:8" ht="33.75" customHeight="1" x14ac:dyDescent="0.25">
      <c r="A133" s="4" t="s">
        <v>62</v>
      </c>
      <c r="B133" s="5">
        <f>2800/7</f>
        <v>400</v>
      </c>
      <c r="C133" s="32"/>
      <c r="E133" s="32"/>
      <c r="F133" s="32"/>
      <c r="G133" s="32"/>
    </row>
    <row r="134" spans="1:8" ht="27.75" customHeight="1" x14ac:dyDescent="0.25">
      <c r="A134" s="4" t="s">
        <v>44</v>
      </c>
      <c r="B134" s="5">
        <f>1000/7</f>
        <v>142.85714285714286</v>
      </c>
      <c r="C134" s="32"/>
      <c r="E134" s="32"/>
      <c r="F134" s="32"/>
      <c r="G134" s="32"/>
    </row>
    <row r="135" spans="1:8" ht="25.5" customHeight="1" x14ac:dyDescent="0.25">
      <c r="A135" s="4" t="s">
        <v>46</v>
      </c>
      <c r="B135" s="5">
        <f>2200/7</f>
        <v>314.28571428571428</v>
      </c>
      <c r="C135" s="4"/>
      <c r="D135" s="4"/>
      <c r="F135" s="33"/>
    </row>
    <row r="136" spans="1:8" ht="32.25" customHeight="1" x14ac:dyDescent="0.25">
      <c r="A136" s="4" t="s">
        <v>51</v>
      </c>
      <c r="B136" s="5">
        <f>65000/7</f>
        <v>9285.7142857142862</v>
      </c>
      <c r="C136" s="3"/>
      <c r="D136" s="3"/>
      <c r="E136" s="3"/>
      <c r="F136" s="3"/>
    </row>
    <row r="137" spans="1:8" ht="25.5" customHeight="1" x14ac:dyDescent="0.25">
      <c r="A137" s="4" t="s">
        <v>52</v>
      </c>
      <c r="B137" s="5">
        <f>400/7</f>
        <v>57.142857142857146</v>
      </c>
      <c r="C137" s="5"/>
      <c r="D137" s="5"/>
      <c r="E137" s="5"/>
      <c r="F137" s="4"/>
    </row>
    <row r="138" spans="1:8" ht="25.5" customHeight="1" x14ac:dyDescent="0.25">
      <c r="A138" s="4" t="s">
        <v>53</v>
      </c>
      <c r="B138" s="5">
        <f>6000/7</f>
        <v>857.14285714285711</v>
      </c>
      <c r="C138" s="5"/>
      <c r="D138" s="5"/>
      <c r="E138" s="5"/>
      <c r="F138" s="4"/>
    </row>
    <row r="139" spans="1:8" ht="25.5" customHeight="1" x14ac:dyDescent="0.25">
      <c r="A139" s="4" t="s">
        <v>54</v>
      </c>
      <c r="B139" s="5">
        <f>1400/7</f>
        <v>200</v>
      </c>
      <c r="C139" s="5"/>
      <c r="D139" s="5"/>
      <c r="E139" s="5"/>
      <c r="F139" s="4"/>
    </row>
    <row r="140" spans="1:8" s="30" customFormat="1" ht="25.5" customHeight="1" x14ac:dyDescent="0.25">
      <c r="A140" s="4" t="s">
        <v>55</v>
      </c>
      <c r="B140" s="5">
        <f>5000/7</f>
        <v>714.28571428571433</v>
      </c>
      <c r="C140" s="5"/>
      <c r="D140" s="5"/>
      <c r="E140" s="5"/>
      <c r="F140" s="4"/>
      <c r="G140"/>
    </row>
    <row r="141" spans="1:8" ht="25.5" customHeight="1" x14ac:dyDescent="0.25">
      <c r="A141" s="4" t="s">
        <v>56</v>
      </c>
      <c r="B141" s="5">
        <f>6300/7</f>
        <v>900</v>
      </c>
      <c r="C141" s="5"/>
      <c r="D141" s="5"/>
      <c r="E141" s="5"/>
      <c r="F141" s="4"/>
    </row>
    <row r="142" spans="1:8" ht="25.5" customHeight="1" x14ac:dyDescent="0.25">
      <c r="A142" s="4" t="s">
        <v>57</v>
      </c>
      <c r="B142" s="5">
        <f>250/7</f>
        <v>35.714285714285715</v>
      </c>
      <c r="C142" s="5"/>
      <c r="D142" s="5"/>
      <c r="E142" s="5"/>
      <c r="F142" s="4"/>
    </row>
    <row r="143" spans="1:8" s="20" customFormat="1" ht="25.5" customHeight="1" x14ac:dyDescent="0.25">
      <c r="A143" s="21" t="s">
        <v>58</v>
      </c>
      <c r="B143" s="22">
        <f>4000/7</f>
        <v>571.42857142857144</v>
      </c>
      <c r="C143" s="26"/>
      <c r="D143" s="26"/>
      <c r="E143" s="26"/>
      <c r="F143" s="4"/>
      <c r="G143"/>
    </row>
    <row r="144" spans="1:8" ht="25.5" customHeight="1" x14ac:dyDescent="0.25">
      <c r="A144" s="4" t="s">
        <v>59</v>
      </c>
      <c r="B144" s="5">
        <f>2500/7</f>
        <v>357.14285714285717</v>
      </c>
      <c r="C144" s="5"/>
      <c r="D144" s="5"/>
      <c r="E144" s="5"/>
      <c r="F144" s="4"/>
    </row>
    <row r="145" spans="1:7" ht="25.5" customHeight="1" x14ac:dyDescent="0.25">
      <c r="A145" s="4" t="s">
        <v>60</v>
      </c>
      <c r="B145" s="5">
        <f>480/7</f>
        <v>68.571428571428569</v>
      </c>
      <c r="C145" s="5"/>
      <c r="D145" s="5"/>
      <c r="E145" s="5"/>
      <c r="F145" s="4"/>
    </row>
    <row r="146" spans="1:7" ht="25.5" customHeight="1" x14ac:dyDescent="0.25">
      <c r="A146" s="4"/>
      <c r="B146" s="7">
        <f>SUM(B132:B145)</f>
        <v>14618.571428571428</v>
      </c>
      <c r="C146" s="5"/>
      <c r="D146" s="5"/>
      <c r="E146" s="5"/>
      <c r="F146" s="4"/>
    </row>
    <row r="147" spans="1:7" ht="25.5" customHeight="1" x14ac:dyDescent="0.25">
      <c r="A147" s="1" t="s">
        <v>132</v>
      </c>
      <c r="B147" s="42">
        <f>B118+B121+C124+D124+E124+B130+B146</f>
        <v>81569.158599999995</v>
      </c>
      <c r="C147" s="5"/>
      <c r="D147" s="5"/>
      <c r="E147" s="5"/>
      <c r="F147" s="4"/>
    </row>
    <row r="148" spans="1:7" ht="25.5" customHeight="1" x14ac:dyDescent="0.25">
      <c r="A148" s="4"/>
      <c r="B148" s="4"/>
      <c r="C148" s="5"/>
      <c r="D148" s="5"/>
      <c r="E148" s="5"/>
      <c r="F148" s="4"/>
    </row>
    <row r="149" spans="1:7" ht="25.5" customHeight="1" x14ac:dyDescent="0.25">
      <c r="A149" s="1" t="s">
        <v>133</v>
      </c>
      <c r="B149" s="68"/>
      <c r="C149" s="68"/>
      <c r="E149" s="68"/>
      <c r="F149" s="68"/>
      <c r="G149" s="68"/>
    </row>
    <row r="150" spans="1:7" ht="25.5" customHeight="1" x14ac:dyDescent="0.25">
      <c r="A150" s="1" t="s">
        <v>2</v>
      </c>
      <c r="B150" s="32" t="s">
        <v>117</v>
      </c>
      <c r="C150" s="49" t="s">
        <v>208</v>
      </c>
      <c r="D150" s="49"/>
      <c r="E150" s="32"/>
      <c r="F150" s="32"/>
      <c r="G150" s="32"/>
    </row>
    <row r="151" spans="1:7" ht="25.5" customHeight="1" x14ac:dyDescent="0.25">
      <c r="A151" s="4" t="s">
        <v>183</v>
      </c>
      <c r="B151" s="5">
        <f>420.95*21</f>
        <v>8839.9499999999989</v>
      </c>
      <c r="C151" s="40">
        <f>21/18.75</f>
        <v>1.1200000000000001</v>
      </c>
      <c r="D151" s="40"/>
      <c r="E151" s="5"/>
      <c r="F151" s="32"/>
      <c r="G151" s="32"/>
    </row>
    <row r="152" spans="1:7" ht="25.5" customHeight="1" x14ac:dyDescent="0.25">
      <c r="A152" s="4" t="s">
        <v>171</v>
      </c>
      <c r="B152" s="5">
        <f>390.48*26.25</f>
        <v>10250.1</v>
      </c>
      <c r="C152" s="40">
        <f>26.25/18.75</f>
        <v>1.4</v>
      </c>
      <c r="D152" s="40"/>
      <c r="E152" s="5"/>
      <c r="F152" s="32"/>
      <c r="G152" s="32"/>
    </row>
    <row r="153" spans="1:7" ht="25.5" customHeight="1" x14ac:dyDescent="0.25">
      <c r="A153" s="39" t="s">
        <v>178</v>
      </c>
      <c r="B153" s="5">
        <f>327.78*4.5</f>
        <v>1475.0099999999998</v>
      </c>
      <c r="C153" s="40">
        <f>4.5/18.75</f>
        <v>0.24</v>
      </c>
      <c r="D153" s="40"/>
      <c r="E153" s="5"/>
      <c r="F153" s="32"/>
      <c r="G153" s="32"/>
    </row>
    <row r="154" spans="1:7" s="17" customFormat="1" ht="25.5" customHeight="1" x14ac:dyDescent="0.25">
      <c r="A154" s="39" t="s">
        <v>184</v>
      </c>
      <c r="B154" s="5">
        <f>328.89*0</f>
        <v>0</v>
      </c>
      <c r="C154" s="40">
        <f>0/18.75</f>
        <v>0</v>
      </c>
      <c r="D154" s="40"/>
      <c r="E154" s="5"/>
      <c r="F154" s="32"/>
      <c r="G154" s="32"/>
    </row>
    <row r="155" spans="1:7" ht="25.5" customHeight="1" x14ac:dyDescent="0.25">
      <c r="A155" s="39" t="s">
        <v>185</v>
      </c>
      <c r="B155" s="5">
        <f>337.78*135</f>
        <v>45600.299999999996</v>
      </c>
      <c r="C155" s="40">
        <f>135/18.75</f>
        <v>7.2</v>
      </c>
      <c r="D155" s="40"/>
      <c r="E155" s="5"/>
      <c r="F155" s="32"/>
      <c r="G155" s="32"/>
    </row>
    <row r="156" spans="1:7" ht="25.5" customHeight="1" x14ac:dyDescent="0.25">
      <c r="A156" s="4" t="s">
        <v>174</v>
      </c>
      <c r="B156" s="5">
        <f>255.56*16.88</f>
        <v>4313.8527999999997</v>
      </c>
      <c r="C156" s="40">
        <f>16.88/18.75</f>
        <v>0.90026666666666666</v>
      </c>
      <c r="D156" s="40"/>
      <c r="E156" s="5"/>
      <c r="F156" s="32"/>
      <c r="G156" s="32"/>
    </row>
    <row r="157" spans="1:7" ht="25.5" customHeight="1" x14ac:dyDescent="0.25">
      <c r="A157" s="25" t="s">
        <v>186</v>
      </c>
      <c r="B157" s="5">
        <f>255.56*11.25</f>
        <v>2875.05</v>
      </c>
      <c r="C157" s="40">
        <f>11.25/18.75</f>
        <v>0.6</v>
      </c>
      <c r="D157" s="40"/>
      <c r="E157" s="5"/>
      <c r="F157" s="32"/>
      <c r="G157" s="32"/>
    </row>
    <row r="158" spans="1:7" ht="25.5" customHeight="1" x14ac:dyDescent="0.25">
      <c r="A158" s="39" t="s">
        <v>176</v>
      </c>
      <c r="B158" s="5">
        <f>271.11*22.5</f>
        <v>6099.9750000000004</v>
      </c>
      <c r="C158" s="40">
        <f>22.5/18.75</f>
        <v>1.2</v>
      </c>
      <c r="D158" s="40"/>
      <c r="E158" s="5"/>
      <c r="F158" s="32"/>
      <c r="G158" s="32"/>
    </row>
    <row r="159" spans="1:7" ht="25.5" customHeight="1" x14ac:dyDescent="0.25">
      <c r="A159" s="4" t="s">
        <v>177</v>
      </c>
      <c r="B159" s="5">
        <f>378.79*16.5</f>
        <v>6250.0350000000008</v>
      </c>
      <c r="C159" s="40">
        <f>16.5/18.75</f>
        <v>0.88</v>
      </c>
      <c r="D159" s="40"/>
      <c r="E159" s="5"/>
      <c r="F159" s="32"/>
      <c r="G159" s="32"/>
    </row>
    <row r="160" spans="1:7" ht="25.5" customHeight="1" x14ac:dyDescent="0.25">
      <c r="A160" s="18" t="s">
        <v>187</v>
      </c>
      <c r="B160" s="5">
        <f>10*7.5</f>
        <v>75</v>
      </c>
      <c r="C160" s="40">
        <f>7.5/18.75</f>
        <v>0.4</v>
      </c>
      <c r="D160" s="40"/>
      <c r="E160" s="5"/>
      <c r="F160" s="32"/>
      <c r="G160" s="32"/>
    </row>
    <row r="161" spans="1:7" ht="25.5" customHeight="1" x14ac:dyDescent="0.25">
      <c r="A161" s="1" t="s">
        <v>119</v>
      </c>
      <c r="B161" s="7">
        <f>SUM(B151:B160)</f>
        <v>85779.272799999992</v>
      </c>
      <c r="C161" s="50">
        <f>SUM(C151:C160)</f>
        <v>13.940266666666668</v>
      </c>
      <c r="D161" s="50"/>
      <c r="E161" s="32"/>
      <c r="F161" s="32"/>
      <c r="G161" s="32"/>
    </row>
    <row r="162" spans="1:7" ht="25.5" customHeight="1" x14ac:dyDescent="0.25">
      <c r="A162" s="6" t="s">
        <v>98</v>
      </c>
      <c r="B162" s="32"/>
      <c r="C162" s="32"/>
      <c r="E162" s="32"/>
      <c r="F162" s="32"/>
      <c r="G162" s="32"/>
    </row>
    <row r="163" spans="1:7" ht="25.5" customHeight="1" x14ac:dyDescent="0.25">
      <c r="A163" s="4" t="s">
        <v>134</v>
      </c>
      <c r="B163" s="5">
        <v>2000</v>
      </c>
      <c r="C163" s="32"/>
      <c r="E163" s="32"/>
      <c r="F163" s="32"/>
      <c r="G163" s="32"/>
    </row>
    <row r="164" spans="1:7" ht="25.5" customHeight="1" x14ac:dyDescent="0.25">
      <c r="A164" s="25" t="s">
        <v>213</v>
      </c>
      <c r="B164" s="26">
        <v>45000</v>
      </c>
      <c r="C164" s="60"/>
      <c r="E164" s="60"/>
      <c r="F164" s="60"/>
      <c r="G164" s="60"/>
    </row>
    <row r="165" spans="1:7" ht="25.5" customHeight="1" x14ac:dyDescent="0.25">
      <c r="A165" s="1"/>
      <c r="B165" s="42">
        <f>SUM(B163:B164)</f>
        <v>47000</v>
      </c>
      <c r="C165" s="32"/>
      <c r="E165" s="32"/>
      <c r="F165" s="32"/>
      <c r="G165" s="32"/>
    </row>
    <row r="166" spans="1:7" ht="25.5" customHeight="1" x14ac:dyDescent="0.25">
      <c r="A166" s="1" t="s">
        <v>120</v>
      </c>
      <c r="B166" s="32" t="s">
        <v>124</v>
      </c>
      <c r="C166" s="32" t="s">
        <v>121</v>
      </c>
      <c r="D166" t="s">
        <v>122</v>
      </c>
      <c r="E166" s="32" t="s">
        <v>123</v>
      </c>
      <c r="F166" s="32"/>
      <c r="G166" s="32"/>
    </row>
    <row r="167" spans="1:7" ht="25.5" customHeight="1" x14ac:dyDescent="0.25">
      <c r="A167" s="25" t="s">
        <v>66</v>
      </c>
      <c r="B167" s="25">
        <v>30</v>
      </c>
      <c r="C167" s="26">
        <v>6600</v>
      </c>
      <c r="D167" s="26">
        <v>8100</v>
      </c>
      <c r="E167" s="26">
        <v>1800</v>
      </c>
      <c r="F167" s="32"/>
      <c r="G167" s="32"/>
    </row>
    <row r="168" spans="1:7" ht="25.5" customHeight="1" x14ac:dyDescent="0.25">
      <c r="A168" s="25" t="s">
        <v>141</v>
      </c>
      <c r="B168" s="25">
        <v>2</v>
      </c>
      <c r="C168" s="26">
        <v>440</v>
      </c>
      <c r="D168" s="26">
        <v>360</v>
      </c>
      <c r="E168" s="26">
        <v>80</v>
      </c>
      <c r="F168" s="32"/>
      <c r="G168" s="32"/>
    </row>
    <row r="169" spans="1:7" ht="25.5" customHeight="1" x14ac:dyDescent="0.25">
      <c r="A169" s="1"/>
      <c r="B169" s="42">
        <f>SUM(B167:B168)</f>
        <v>32</v>
      </c>
      <c r="C169" s="42">
        <f t="shared" ref="C169:E169" si="6">SUM(C167:C168)</f>
        <v>7040</v>
      </c>
      <c r="D169" s="42">
        <f t="shared" si="6"/>
        <v>8460</v>
      </c>
      <c r="E169" s="42">
        <f t="shared" si="6"/>
        <v>1880</v>
      </c>
      <c r="F169" s="32"/>
      <c r="G169" s="32"/>
    </row>
    <row r="170" spans="1:7" ht="25.5" customHeight="1" x14ac:dyDescent="0.25">
      <c r="A170" s="1" t="s">
        <v>13</v>
      </c>
      <c r="B170" s="32"/>
      <c r="C170" s="32"/>
      <c r="E170" s="32"/>
      <c r="F170" s="32"/>
      <c r="G170" s="32"/>
    </row>
    <row r="171" spans="1:7" ht="25.5" customHeight="1" x14ac:dyDescent="0.25">
      <c r="A171" s="21" t="s">
        <v>94</v>
      </c>
      <c r="B171" s="22">
        <f>3200/7</f>
        <v>457.14285714285717</v>
      </c>
      <c r="C171" s="32"/>
      <c r="E171" s="32"/>
      <c r="F171" s="32"/>
      <c r="G171" s="32"/>
    </row>
    <row r="172" spans="1:7" ht="25.5" customHeight="1" x14ac:dyDescent="0.25">
      <c r="A172" s="4" t="s">
        <v>96</v>
      </c>
      <c r="B172" s="5">
        <f>500/7</f>
        <v>71.428571428571431</v>
      </c>
      <c r="C172" s="32"/>
      <c r="E172" s="32"/>
      <c r="F172" s="32"/>
      <c r="G172" s="32"/>
    </row>
    <row r="173" spans="1:7" ht="25.5" customHeight="1" x14ac:dyDescent="0.25">
      <c r="A173" s="4" t="s">
        <v>97</v>
      </c>
      <c r="B173" s="5">
        <f>2800/7</f>
        <v>400</v>
      </c>
      <c r="C173" s="32"/>
      <c r="E173" s="32"/>
      <c r="F173" s="32"/>
      <c r="G173" s="32"/>
    </row>
    <row r="174" spans="1:7" ht="25.5" customHeight="1" x14ac:dyDescent="0.25">
      <c r="A174" s="4" t="s">
        <v>95</v>
      </c>
      <c r="B174" s="5">
        <f>1000/7</f>
        <v>142.85714285714286</v>
      </c>
      <c r="C174" s="32"/>
      <c r="E174" s="32"/>
      <c r="F174" s="32"/>
      <c r="G174" s="32"/>
    </row>
    <row r="175" spans="1:7" ht="25.5" customHeight="1" x14ac:dyDescent="0.25">
      <c r="A175" s="1"/>
      <c r="B175" s="42">
        <f>SUM(B171:B174)</f>
        <v>1071.4285714285713</v>
      </c>
      <c r="C175" s="32"/>
      <c r="E175" s="32"/>
      <c r="F175" s="32"/>
      <c r="G175" s="32"/>
    </row>
    <row r="176" spans="1:7" ht="25.5" customHeight="1" x14ac:dyDescent="0.25">
      <c r="A176" s="6" t="s">
        <v>14</v>
      </c>
      <c r="B176" s="32"/>
      <c r="C176" s="32"/>
      <c r="E176" s="32"/>
      <c r="F176" s="32"/>
      <c r="G176" s="32"/>
    </row>
    <row r="177" spans="1:7" ht="25.5" customHeight="1" x14ac:dyDescent="0.25">
      <c r="A177" s="25" t="s">
        <v>112</v>
      </c>
      <c r="B177" s="26">
        <v>4050</v>
      </c>
      <c r="C177" s="32"/>
      <c r="E177" s="32"/>
      <c r="F177" s="32"/>
      <c r="G177" s="32"/>
    </row>
    <row r="178" spans="1:7" ht="25.5" customHeight="1" x14ac:dyDescent="0.25">
      <c r="A178" s="25" t="s">
        <v>106</v>
      </c>
      <c r="B178" s="26">
        <v>5400</v>
      </c>
      <c r="C178" s="32"/>
      <c r="E178" s="32"/>
      <c r="F178" s="32"/>
      <c r="G178" s="32"/>
    </row>
    <row r="179" spans="1:7" ht="25.5" customHeight="1" x14ac:dyDescent="0.25">
      <c r="A179" s="25" t="s">
        <v>108</v>
      </c>
      <c r="B179" s="26">
        <v>50</v>
      </c>
      <c r="C179" s="32"/>
      <c r="E179" s="32"/>
      <c r="F179" s="32"/>
      <c r="G179" s="32"/>
    </row>
    <row r="180" spans="1:7" ht="25.5" customHeight="1" x14ac:dyDescent="0.25">
      <c r="A180" s="25" t="s">
        <v>138</v>
      </c>
      <c r="B180" s="26">
        <v>100</v>
      </c>
      <c r="C180" s="32"/>
      <c r="E180" s="32"/>
      <c r="F180" s="32"/>
      <c r="G180" s="32"/>
    </row>
    <row r="181" spans="1:7" ht="25.5" customHeight="1" x14ac:dyDescent="0.25">
      <c r="A181" s="4" t="s">
        <v>42</v>
      </c>
      <c r="B181" s="5">
        <f>5000/7</f>
        <v>714.28571428571433</v>
      </c>
      <c r="C181" s="32"/>
      <c r="E181" s="32"/>
      <c r="F181" s="32"/>
      <c r="G181" s="32"/>
    </row>
    <row r="182" spans="1:7" ht="25.5" customHeight="1" x14ac:dyDescent="0.25">
      <c r="A182" s="4" t="s">
        <v>62</v>
      </c>
      <c r="B182" s="5">
        <f>2800/7</f>
        <v>400</v>
      </c>
      <c r="C182" s="32"/>
      <c r="E182" s="32"/>
      <c r="F182" s="32"/>
      <c r="G182" s="32"/>
    </row>
    <row r="183" spans="1:7" ht="25.5" customHeight="1" x14ac:dyDescent="0.25">
      <c r="A183" s="4" t="s">
        <v>44</v>
      </c>
      <c r="B183" s="5">
        <f>1000/7</f>
        <v>142.85714285714286</v>
      </c>
      <c r="C183" s="32"/>
      <c r="E183" s="32"/>
      <c r="F183" s="32"/>
      <c r="G183" s="32"/>
    </row>
    <row r="184" spans="1:7" ht="25.5" customHeight="1" x14ac:dyDescent="0.25">
      <c r="A184" s="4" t="s">
        <v>46</v>
      </c>
      <c r="B184" s="5">
        <f>2200/7</f>
        <v>314.28571428571428</v>
      </c>
      <c r="C184" s="4"/>
      <c r="D184" s="4"/>
      <c r="F184" s="33"/>
    </row>
    <row r="185" spans="1:7" ht="25.5" customHeight="1" x14ac:dyDescent="0.25">
      <c r="A185" s="4" t="s">
        <v>51</v>
      </c>
      <c r="B185" s="5">
        <f>65000/7</f>
        <v>9285.7142857142862</v>
      </c>
      <c r="C185" s="3"/>
      <c r="D185" s="3"/>
      <c r="E185" s="3"/>
      <c r="F185" s="3"/>
    </row>
    <row r="186" spans="1:7" ht="25.5" customHeight="1" x14ac:dyDescent="0.25">
      <c r="A186" s="4" t="s">
        <v>52</v>
      </c>
      <c r="B186" s="5">
        <f>400/7</f>
        <v>57.142857142857146</v>
      </c>
      <c r="C186" s="5"/>
      <c r="D186" s="5"/>
      <c r="E186" s="5"/>
      <c r="F186" s="4"/>
    </row>
    <row r="187" spans="1:7" ht="25.5" customHeight="1" x14ac:dyDescent="0.25">
      <c r="A187" s="4" t="s">
        <v>53</v>
      </c>
      <c r="B187" s="5">
        <f>6000/7</f>
        <v>857.14285714285711</v>
      </c>
      <c r="C187" s="5"/>
      <c r="D187" s="5"/>
      <c r="E187" s="5"/>
      <c r="F187" s="4"/>
    </row>
    <row r="188" spans="1:7" ht="25.5" customHeight="1" x14ac:dyDescent="0.25">
      <c r="A188" s="4" t="s">
        <v>54</v>
      </c>
      <c r="B188" s="5">
        <f>1400/7</f>
        <v>200</v>
      </c>
      <c r="C188" s="5"/>
      <c r="D188" s="5"/>
      <c r="E188" s="5"/>
      <c r="F188" s="4"/>
    </row>
    <row r="189" spans="1:7" ht="25.5" customHeight="1" x14ac:dyDescent="0.25">
      <c r="A189" s="4" t="s">
        <v>55</v>
      </c>
      <c r="B189" s="5">
        <f>5000/7</f>
        <v>714.28571428571433</v>
      </c>
      <c r="C189" s="5"/>
      <c r="D189" s="5"/>
      <c r="E189" s="5"/>
      <c r="F189" s="4"/>
    </row>
    <row r="190" spans="1:7" ht="25.5" customHeight="1" x14ac:dyDescent="0.25">
      <c r="A190" s="4" t="s">
        <v>56</v>
      </c>
      <c r="B190" s="5">
        <f>6300/7</f>
        <v>900</v>
      </c>
      <c r="C190" s="5"/>
      <c r="D190" s="5"/>
      <c r="E190" s="5"/>
      <c r="F190" s="4"/>
    </row>
    <row r="191" spans="1:7" ht="25.5" customHeight="1" x14ac:dyDescent="0.25">
      <c r="A191" s="4" t="s">
        <v>57</v>
      </c>
      <c r="B191" s="5">
        <f>250/7</f>
        <v>35.714285714285715</v>
      </c>
      <c r="C191" s="5"/>
      <c r="D191" s="5"/>
      <c r="E191" s="5"/>
      <c r="F191" s="4"/>
    </row>
    <row r="192" spans="1:7" ht="25.5" customHeight="1" x14ac:dyDescent="0.25">
      <c r="A192" s="21" t="s">
        <v>58</v>
      </c>
      <c r="B192" s="22">
        <f>4000/7</f>
        <v>571.42857142857144</v>
      </c>
      <c r="C192" s="26"/>
      <c r="D192" s="26"/>
      <c r="E192" s="26"/>
      <c r="F192" s="4"/>
    </row>
    <row r="193" spans="1:7" ht="25.5" customHeight="1" x14ac:dyDescent="0.25">
      <c r="A193" s="4" t="s">
        <v>59</v>
      </c>
      <c r="B193" s="5">
        <f>2500/7</f>
        <v>357.14285714285717</v>
      </c>
      <c r="C193" s="5"/>
      <c r="D193" s="5"/>
      <c r="E193" s="5"/>
      <c r="F193" s="4"/>
    </row>
    <row r="194" spans="1:7" ht="25.5" customHeight="1" x14ac:dyDescent="0.25">
      <c r="A194" s="4" t="s">
        <v>60</v>
      </c>
      <c r="B194" s="5">
        <f>480/7</f>
        <v>68.571428571428569</v>
      </c>
      <c r="C194" s="5"/>
      <c r="D194" s="5"/>
      <c r="E194" s="5"/>
      <c r="F194" s="4"/>
    </row>
    <row r="195" spans="1:7" ht="25.5" customHeight="1" x14ac:dyDescent="0.25">
      <c r="A195" s="4"/>
      <c r="B195" s="7">
        <f>SUM(B177:B194)</f>
        <v>24218.571428571431</v>
      </c>
      <c r="C195" s="5"/>
      <c r="D195" s="5"/>
      <c r="E195" s="5"/>
      <c r="F195" s="4"/>
    </row>
    <row r="196" spans="1:7" ht="25.5" customHeight="1" x14ac:dyDescent="0.25">
      <c r="A196" s="1" t="s">
        <v>135</v>
      </c>
      <c r="B196" s="42">
        <f>B161+B165+C169+D169+E169+B175+B195</f>
        <v>175449.27279999998</v>
      </c>
      <c r="C196" s="5"/>
      <c r="D196" s="5"/>
      <c r="E196" s="5"/>
      <c r="F196" s="4"/>
    </row>
    <row r="197" spans="1:7" ht="25.5" customHeight="1" x14ac:dyDescent="0.25">
      <c r="A197" s="4"/>
      <c r="B197" s="4"/>
      <c r="C197" s="5"/>
      <c r="D197" s="5"/>
      <c r="E197" s="5"/>
      <c r="F197" s="4"/>
    </row>
    <row r="198" spans="1:7" ht="25.5" customHeight="1" x14ac:dyDescent="0.25">
      <c r="A198" s="1" t="s">
        <v>136</v>
      </c>
      <c r="B198" s="68"/>
      <c r="C198" s="68"/>
      <c r="E198" s="68"/>
      <c r="F198" s="68"/>
      <c r="G198" s="68"/>
    </row>
    <row r="199" spans="1:7" ht="25.5" customHeight="1" x14ac:dyDescent="0.25">
      <c r="A199" s="1" t="s">
        <v>2</v>
      </c>
      <c r="B199" s="32" t="s">
        <v>117</v>
      </c>
      <c r="C199" s="49" t="s">
        <v>208</v>
      </c>
      <c r="D199" s="49"/>
      <c r="E199" s="32"/>
      <c r="F199" s="32"/>
      <c r="G199" s="32"/>
    </row>
    <row r="200" spans="1:7" ht="25.5" customHeight="1" x14ac:dyDescent="0.25">
      <c r="A200" s="4" t="s">
        <v>170</v>
      </c>
      <c r="B200" s="5">
        <f>420.95*15.75</f>
        <v>6629.9624999999996</v>
      </c>
      <c r="C200" s="40">
        <f>15.75/18.75</f>
        <v>0.84</v>
      </c>
      <c r="D200" s="40"/>
      <c r="E200" s="5"/>
      <c r="F200" s="32"/>
      <c r="G200" s="32"/>
    </row>
    <row r="201" spans="1:7" ht="25.5" customHeight="1" x14ac:dyDescent="0.25">
      <c r="A201" s="4" t="s">
        <v>188</v>
      </c>
      <c r="B201" s="5">
        <f>390.48*52.5</f>
        <v>20500.2</v>
      </c>
      <c r="C201" s="40">
        <f>52.5/18.75</f>
        <v>2.8</v>
      </c>
      <c r="D201" s="40"/>
      <c r="E201" s="5"/>
      <c r="F201" s="32"/>
      <c r="G201" s="32"/>
    </row>
    <row r="202" spans="1:7" ht="25.5" customHeight="1" x14ac:dyDescent="0.25">
      <c r="A202" s="39" t="s">
        <v>189</v>
      </c>
      <c r="B202" s="5">
        <f>327.78*18</f>
        <v>5900.0399999999991</v>
      </c>
      <c r="C202" s="40">
        <f>18/18.75</f>
        <v>0.96</v>
      </c>
      <c r="D202" s="40"/>
      <c r="E202" s="5"/>
      <c r="F202" s="32"/>
      <c r="G202" s="32"/>
    </row>
    <row r="203" spans="1:7" ht="25.5" customHeight="1" x14ac:dyDescent="0.25">
      <c r="A203" s="39" t="s">
        <v>190</v>
      </c>
      <c r="B203" s="5">
        <f>328.89*157.5</f>
        <v>51800.174999999996</v>
      </c>
      <c r="C203" s="40">
        <f>157.5/18.75</f>
        <v>8.4</v>
      </c>
      <c r="D203" s="40"/>
      <c r="E203" s="5"/>
      <c r="F203" s="32"/>
      <c r="G203" s="32"/>
    </row>
    <row r="204" spans="1:7" ht="25.5" customHeight="1" x14ac:dyDescent="0.25">
      <c r="A204" s="39" t="s">
        <v>191</v>
      </c>
      <c r="B204" s="5">
        <f>337.78*5.63</f>
        <v>1901.7013999999999</v>
      </c>
      <c r="C204" s="40">
        <f>5.63/18.75</f>
        <v>0.30026666666666668</v>
      </c>
      <c r="D204" s="40"/>
      <c r="E204" s="5"/>
      <c r="F204" s="32"/>
      <c r="G204" s="32"/>
    </row>
    <row r="205" spans="1:7" ht="25.5" customHeight="1" x14ac:dyDescent="0.25">
      <c r="A205" s="4" t="s">
        <v>192</v>
      </c>
      <c r="B205" s="5">
        <f>255.56*0</f>
        <v>0</v>
      </c>
      <c r="C205" s="40">
        <f>0/18.75</f>
        <v>0</v>
      </c>
      <c r="D205" s="40"/>
      <c r="E205" s="5"/>
      <c r="F205" s="32"/>
      <c r="G205" s="32"/>
    </row>
    <row r="206" spans="1:7" ht="25.5" customHeight="1" x14ac:dyDescent="0.25">
      <c r="A206" s="25" t="s">
        <v>193</v>
      </c>
      <c r="B206" s="5">
        <f>255.56*0</f>
        <v>0</v>
      </c>
      <c r="C206" s="40">
        <f>0/18.75</f>
        <v>0</v>
      </c>
      <c r="D206" s="40"/>
      <c r="E206" s="5"/>
      <c r="F206" s="32"/>
      <c r="G206" s="32"/>
    </row>
    <row r="207" spans="1:7" ht="25.5" customHeight="1" x14ac:dyDescent="0.25">
      <c r="A207" s="39" t="s">
        <v>154</v>
      </c>
      <c r="B207" s="5">
        <f>271.11*45</f>
        <v>12199.95</v>
      </c>
      <c r="C207" s="40">
        <f>45/18.75</f>
        <v>2.4</v>
      </c>
      <c r="D207" s="40"/>
      <c r="E207" s="5"/>
      <c r="F207" s="32"/>
      <c r="G207" s="32"/>
    </row>
    <row r="208" spans="1:7" ht="25.5" customHeight="1" x14ac:dyDescent="0.25">
      <c r="A208" s="4" t="s">
        <v>194</v>
      </c>
      <c r="B208" s="5">
        <f>378.79*33</f>
        <v>12500.070000000002</v>
      </c>
      <c r="C208" s="40">
        <f>33/18.75</f>
        <v>1.76</v>
      </c>
      <c r="D208" s="40"/>
      <c r="E208" s="5"/>
      <c r="F208" s="32"/>
      <c r="G208" s="32"/>
    </row>
    <row r="209" spans="1:7" ht="25.5" customHeight="1" x14ac:dyDescent="0.25">
      <c r="A209" s="18" t="s">
        <v>195</v>
      </c>
      <c r="B209" s="5">
        <f>10*75</f>
        <v>750</v>
      </c>
      <c r="C209" s="40">
        <f>75/18.75</f>
        <v>4</v>
      </c>
      <c r="D209" s="40"/>
      <c r="E209" s="5"/>
      <c r="F209" s="32"/>
      <c r="G209" s="32"/>
    </row>
    <row r="210" spans="1:7" ht="25.5" customHeight="1" x14ac:dyDescent="0.25">
      <c r="A210" s="1" t="s">
        <v>119</v>
      </c>
      <c r="B210" s="7">
        <f>SUM(B200:B209)</f>
        <v>112182.09890000001</v>
      </c>
      <c r="C210" s="50">
        <f>SUM(C200:C209)</f>
        <v>21.460266666666669</v>
      </c>
      <c r="D210" s="50"/>
      <c r="E210" s="32"/>
      <c r="F210" s="32"/>
      <c r="G210" s="32"/>
    </row>
    <row r="211" spans="1:7" ht="25.5" customHeight="1" x14ac:dyDescent="0.25">
      <c r="A211" s="6" t="s">
        <v>98</v>
      </c>
      <c r="B211" s="32"/>
      <c r="C211" s="32"/>
      <c r="E211" s="32"/>
      <c r="F211" s="32"/>
      <c r="G211" s="32"/>
    </row>
    <row r="212" spans="1:7" ht="25.5" customHeight="1" x14ac:dyDescent="0.25">
      <c r="A212" s="21" t="s">
        <v>217</v>
      </c>
      <c r="B212" s="22">
        <v>27500</v>
      </c>
      <c r="C212" s="22"/>
      <c r="D212" s="22"/>
      <c r="E212" s="22"/>
      <c r="F212" s="60"/>
      <c r="G212" s="60"/>
    </row>
    <row r="213" spans="1:7" ht="25.5" customHeight="1" x14ac:dyDescent="0.25">
      <c r="A213" s="21" t="s">
        <v>218</v>
      </c>
      <c r="B213" s="41">
        <v>25000</v>
      </c>
      <c r="C213" s="60"/>
      <c r="E213" s="60"/>
      <c r="F213" s="60"/>
      <c r="G213" s="60"/>
    </row>
    <row r="214" spans="1:7" ht="25.5" customHeight="1" x14ac:dyDescent="0.25">
      <c r="A214" s="21" t="s">
        <v>219</v>
      </c>
      <c r="B214" s="41">
        <v>7500</v>
      </c>
      <c r="C214" s="60"/>
      <c r="E214" s="60"/>
      <c r="F214" s="60"/>
      <c r="G214" s="60"/>
    </row>
    <row r="215" spans="1:7" ht="25.5" customHeight="1" x14ac:dyDescent="0.25">
      <c r="A215" s="21" t="s">
        <v>214</v>
      </c>
      <c r="B215" s="41">
        <v>15500</v>
      </c>
      <c r="C215" s="60"/>
      <c r="E215" s="60"/>
      <c r="F215" s="60"/>
      <c r="G215" s="60"/>
    </row>
    <row r="216" spans="1:7" ht="25.5" customHeight="1" x14ac:dyDescent="0.25">
      <c r="A216" s="21" t="s">
        <v>210</v>
      </c>
      <c r="B216" s="41">
        <v>3100</v>
      </c>
      <c r="C216" s="60"/>
      <c r="E216" s="60"/>
      <c r="F216" s="60"/>
      <c r="G216" s="60"/>
    </row>
    <row r="217" spans="1:7" ht="25.5" customHeight="1" x14ac:dyDescent="0.25">
      <c r="A217" s="21" t="s">
        <v>211</v>
      </c>
      <c r="B217" s="41">
        <v>12000</v>
      </c>
      <c r="C217" s="60"/>
      <c r="E217" s="60"/>
      <c r="F217" s="60"/>
      <c r="G217" s="60"/>
    </row>
    <row r="218" spans="1:7" ht="25.5" customHeight="1" x14ac:dyDescent="0.25">
      <c r="A218" s="21" t="s">
        <v>215</v>
      </c>
      <c r="B218" s="41">
        <v>73000</v>
      </c>
      <c r="C218" s="60"/>
      <c r="E218" s="60"/>
      <c r="F218" s="60"/>
      <c r="G218" s="60"/>
    </row>
    <row r="219" spans="1:7" ht="25.5" customHeight="1" x14ac:dyDescent="0.25">
      <c r="A219" s="21" t="s">
        <v>216</v>
      </c>
      <c r="B219" s="41">
        <v>18000</v>
      </c>
      <c r="C219" s="60"/>
      <c r="E219" s="60"/>
      <c r="F219" s="60"/>
      <c r="G219" s="60"/>
    </row>
    <row r="220" spans="1:7" ht="25.5" customHeight="1" x14ac:dyDescent="0.25">
      <c r="A220" s="1"/>
      <c r="B220" s="42">
        <f>SUM(B212:B219)</f>
        <v>181600</v>
      </c>
      <c r="C220" s="32"/>
      <c r="E220" s="32"/>
      <c r="F220" s="32"/>
      <c r="G220" s="32"/>
    </row>
    <row r="221" spans="1:7" ht="25.5" customHeight="1" x14ac:dyDescent="0.25">
      <c r="A221" s="1" t="s">
        <v>120</v>
      </c>
      <c r="B221" s="32" t="s">
        <v>124</v>
      </c>
      <c r="C221" s="32" t="s">
        <v>121</v>
      </c>
      <c r="D221" t="s">
        <v>122</v>
      </c>
      <c r="E221" s="32" t="s">
        <v>123</v>
      </c>
      <c r="F221" s="32"/>
      <c r="G221" s="32"/>
    </row>
    <row r="222" spans="1:7" ht="25.5" customHeight="1" x14ac:dyDescent="0.25">
      <c r="A222" s="21" t="s">
        <v>38</v>
      </c>
      <c r="B222" s="21">
        <v>120</v>
      </c>
      <c r="C222" s="22">
        <v>26400</v>
      </c>
      <c r="D222" s="22">
        <v>21600</v>
      </c>
      <c r="E222" s="22">
        <v>4800</v>
      </c>
      <c r="F222" s="32"/>
      <c r="G222" s="32"/>
    </row>
    <row r="223" spans="1:7" ht="25.5" customHeight="1" x14ac:dyDescent="0.25">
      <c r="A223" s="1"/>
      <c r="B223" s="42">
        <f>SUM(B222:B222)</f>
        <v>120</v>
      </c>
      <c r="C223" s="42">
        <f>SUM(C222:C222)</f>
        <v>26400</v>
      </c>
      <c r="D223" s="42">
        <f>SUM(D222:D222)</f>
        <v>21600</v>
      </c>
      <c r="E223" s="42">
        <f>SUM(E222:E222)</f>
        <v>4800</v>
      </c>
      <c r="F223" s="32"/>
      <c r="G223" s="32"/>
    </row>
    <row r="224" spans="1:7" ht="25.5" customHeight="1" x14ac:dyDescent="0.25">
      <c r="A224" s="1" t="s">
        <v>13</v>
      </c>
      <c r="B224" s="32"/>
      <c r="C224" s="32"/>
      <c r="E224" s="32"/>
      <c r="F224" s="32"/>
      <c r="G224" s="32"/>
    </row>
    <row r="225" spans="1:7" ht="25.5" customHeight="1" x14ac:dyDescent="0.25">
      <c r="A225" s="23" t="s">
        <v>93</v>
      </c>
      <c r="B225" s="5">
        <v>3500</v>
      </c>
      <c r="C225" s="32"/>
      <c r="E225" s="32"/>
      <c r="F225" s="32"/>
      <c r="G225" s="32"/>
    </row>
    <row r="226" spans="1:7" ht="25.5" customHeight="1" x14ac:dyDescent="0.25">
      <c r="A226" s="21" t="s">
        <v>94</v>
      </c>
      <c r="B226" s="22">
        <f>3200/7</f>
        <v>457.14285714285717</v>
      </c>
      <c r="C226" s="32"/>
      <c r="E226" s="32"/>
      <c r="F226" s="32"/>
      <c r="G226" s="32"/>
    </row>
    <row r="227" spans="1:7" ht="25.5" customHeight="1" x14ac:dyDescent="0.25">
      <c r="A227" s="4" t="s">
        <v>96</v>
      </c>
      <c r="B227" s="5">
        <f>500/7</f>
        <v>71.428571428571431</v>
      </c>
      <c r="C227" s="32"/>
      <c r="E227" s="32"/>
      <c r="F227" s="32"/>
      <c r="G227" s="32"/>
    </row>
    <row r="228" spans="1:7" ht="25.5" customHeight="1" x14ac:dyDescent="0.25">
      <c r="A228" s="4" t="s">
        <v>97</v>
      </c>
      <c r="B228" s="5">
        <f>2800/7</f>
        <v>400</v>
      </c>
      <c r="C228" s="32"/>
      <c r="E228" s="32"/>
      <c r="F228" s="32"/>
      <c r="G228" s="32"/>
    </row>
    <row r="229" spans="1:7" ht="25.5" customHeight="1" x14ac:dyDescent="0.25">
      <c r="A229" s="4" t="s">
        <v>95</v>
      </c>
      <c r="B229" s="5">
        <f>1000/7</f>
        <v>142.85714285714286</v>
      </c>
      <c r="C229" s="32"/>
      <c r="E229" s="32"/>
      <c r="F229" s="32"/>
      <c r="G229" s="32"/>
    </row>
    <row r="230" spans="1:7" ht="25.5" customHeight="1" x14ac:dyDescent="0.25">
      <c r="A230" s="1"/>
      <c r="B230" s="42">
        <f>SUM(B225:B229)</f>
        <v>4571.4285714285725</v>
      </c>
      <c r="C230" s="32"/>
      <c r="E230" s="32"/>
      <c r="F230" s="32"/>
      <c r="G230" s="32"/>
    </row>
    <row r="231" spans="1:7" ht="25.5" customHeight="1" x14ac:dyDescent="0.25">
      <c r="A231" s="6" t="s">
        <v>14</v>
      </c>
      <c r="B231" s="32"/>
      <c r="C231" s="32"/>
      <c r="E231" s="32"/>
      <c r="F231" s="32"/>
      <c r="G231" s="32"/>
    </row>
    <row r="232" spans="1:7" ht="25.5" customHeight="1" x14ac:dyDescent="0.25">
      <c r="A232" s="21" t="s">
        <v>109</v>
      </c>
      <c r="B232" s="22">
        <v>6000</v>
      </c>
      <c r="C232" s="32"/>
      <c r="E232" s="32"/>
      <c r="F232" s="32"/>
      <c r="G232" s="32"/>
    </row>
    <row r="233" spans="1:7" ht="25.5" customHeight="1" x14ac:dyDescent="0.25">
      <c r="A233" s="21" t="s">
        <v>115</v>
      </c>
      <c r="B233" s="22">
        <v>7200</v>
      </c>
      <c r="C233" s="60"/>
      <c r="E233" s="60"/>
      <c r="F233" s="60"/>
      <c r="G233" s="60"/>
    </row>
    <row r="234" spans="1:7" ht="25.5" customHeight="1" x14ac:dyDescent="0.25">
      <c r="A234" s="4" t="s">
        <v>42</v>
      </c>
      <c r="B234" s="5">
        <f>5000/7</f>
        <v>714.28571428571433</v>
      </c>
      <c r="C234" s="32"/>
      <c r="E234" s="32"/>
      <c r="F234" s="32"/>
      <c r="G234" s="32"/>
    </row>
    <row r="235" spans="1:7" ht="25.5" customHeight="1" x14ac:dyDescent="0.25">
      <c r="A235" s="4" t="s">
        <v>62</v>
      </c>
      <c r="B235" s="5">
        <f>2800/7</f>
        <v>400</v>
      </c>
      <c r="C235" s="32"/>
      <c r="E235" s="32"/>
      <c r="F235" s="32"/>
      <c r="G235" s="32"/>
    </row>
    <row r="236" spans="1:7" ht="25.5" customHeight="1" x14ac:dyDescent="0.25">
      <c r="A236" s="4" t="s">
        <v>44</v>
      </c>
      <c r="B236" s="5">
        <f>1000/7</f>
        <v>142.85714285714286</v>
      </c>
      <c r="C236" s="32"/>
      <c r="E236" s="32"/>
      <c r="F236" s="32"/>
      <c r="G236" s="32"/>
    </row>
    <row r="237" spans="1:7" ht="25.5" customHeight="1" x14ac:dyDescent="0.25">
      <c r="A237" s="4" t="s">
        <v>46</v>
      </c>
      <c r="B237" s="5">
        <f>2200/7</f>
        <v>314.28571428571428</v>
      </c>
      <c r="C237" s="4"/>
      <c r="D237" s="4"/>
      <c r="F237" s="33"/>
    </row>
    <row r="238" spans="1:7" ht="25.5" customHeight="1" x14ac:dyDescent="0.25">
      <c r="A238" s="4" t="s">
        <v>51</v>
      </c>
      <c r="B238" s="5">
        <f>65000/7</f>
        <v>9285.7142857142862</v>
      </c>
      <c r="C238" s="3"/>
      <c r="D238" s="3"/>
      <c r="E238" s="3"/>
      <c r="F238" s="3"/>
    </row>
    <row r="239" spans="1:7" ht="25.5" customHeight="1" x14ac:dyDescent="0.25">
      <c r="A239" s="4" t="s">
        <v>52</v>
      </c>
      <c r="B239" s="5">
        <f>400/7</f>
        <v>57.142857142857146</v>
      </c>
      <c r="C239" s="5"/>
      <c r="D239" s="5"/>
      <c r="E239" s="5"/>
      <c r="F239" s="4"/>
    </row>
    <row r="240" spans="1:7" ht="25.5" customHeight="1" x14ac:dyDescent="0.25">
      <c r="A240" s="4" t="s">
        <v>53</v>
      </c>
      <c r="B240" s="5">
        <f>6000/7</f>
        <v>857.14285714285711</v>
      </c>
      <c r="C240" s="5"/>
      <c r="D240" s="5"/>
      <c r="E240" s="5"/>
      <c r="F240" s="4"/>
    </row>
    <row r="241" spans="1:7" ht="25.5" customHeight="1" x14ac:dyDescent="0.25">
      <c r="A241" s="4" t="s">
        <v>54</v>
      </c>
      <c r="B241" s="5">
        <f>1400/7</f>
        <v>200</v>
      </c>
      <c r="C241" s="5"/>
      <c r="D241" s="5"/>
      <c r="E241" s="5"/>
      <c r="F241" s="4"/>
    </row>
    <row r="242" spans="1:7" ht="25.5" customHeight="1" x14ac:dyDescent="0.25">
      <c r="A242" s="4" t="s">
        <v>55</v>
      </c>
      <c r="B242" s="5">
        <f>5000/7</f>
        <v>714.28571428571433</v>
      </c>
      <c r="C242" s="5"/>
      <c r="D242" s="5"/>
      <c r="E242" s="5"/>
      <c r="F242" s="4"/>
    </row>
    <row r="243" spans="1:7" ht="25.5" customHeight="1" x14ac:dyDescent="0.25">
      <c r="A243" s="4" t="s">
        <v>56</v>
      </c>
      <c r="B243" s="5">
        <f>6300/7</f>
        <v>900</v>
      </c>
      <c r="C243" s="5"/>
      <c r="D243" s="5"/>
      <c r="E243" s="5"/>
      <c r="F243" s="4"/>
    </row>
    <row r="244" spans="1:7" ht="25.5" customHeight="1" x14ac:dyDescent="0.25">
      <c r="A244" s="4" t="s">
        <v>57</v>
      </c>
      <c r="B244" s="5">
        <f>250/7</f>
        <v>35.714285714285715</v>
      </c>
      <c r="C244" s="5"/>
      <c r="D244" s="5"/>
      <c r="E244" s="5"/>
      <c r="F244" s="4"/>
    </row>
    <row r="245" spans="1:7" ht="25.5" customHeight="1" x14ac:dyDescent="0.25">
      <c r="A245" s="21" t="s">
        <v>58</v>
      </c>
      <c r="B245" s="22">
        <f>4000/7</f>
        <v>571.42857142857144</v>
      </c>
      <c r="C245" s="26"/>
      <c r="D245" s="26"/>
      <c r="E245" s="26"/>
      <c r="F245" s="4"/>
    </row>
    <row r="246" spans="1:7" ht="25.5" customHeight="1" x14ac:dyDescent="0.25">
      <c r="A246" s="4" t="s">
        <v>59</v>
      </c>
      <c r="B246" s="5">
        <f>2500/7</f>
        <v>357.14285714285717</v>
      </c>
      <c r="C246" s="5"/>
      <c r="D246" s="5"/>
      <c r="E246" s="5"/>
      <c r="F246" s="4"/>
    </row>
    <row r="247" spans="1:7" ht="25.5" customHeight="1" x14ac:dyDescent="0.25">
      <c r="A247" s="4" t="s">
        <v>60</v>
      </c>
      <c r="B247" s="5">
        <f>480/7</f>
        <v>68.571428571428569</v>
      </c>
      <c r="C247" s="5"/>
      <c r="D247" s="5"/>
      <c r="E247" s="5"/>
      <c r="F247" s="4"/>
    </row>
    <row r="248" spans="1:7" ht="25.5" customHeight="1" x14ac:dyDescent="0.25">
      <c r="A248" s="4"/>
      <c r="B248" s="7">
        <f>SUM(B232:B247)</f>
        <v>27818.571428571431</v>
      </c>
      <c r="C248" s="5"/>
      <c r="D248" s="5"/>
      <c r="E248" s="5"/>
      <c r="F248" s="4"/>
    </row>
    <row r="249" spans="1:7" ht="25.5" customHeight="1" x14ac:dyDescent="0.25">
      <c r="A249" s="1" t="s">
        <v>137</v>
      </c>
      <c r="B249" s="42">
        <f>B210+B220+C223+D223+E223+B230+B248</f>
        <v>378972.09889999998</v>
      </c>
      <c r="C249" s="5"/>
      <c r="D249" s="5"/>
      <c r="E249" s="5"/>
      <c r="F249" s="4"/>
    </row>
    <row r="250" spans="1:7" ht="25.5" customHeight="1" x14ac:dyDescent="0.25">
      <c r="A250" s="4"/>
      <c r="B250" s="4"/>
      <c r="C250" s="5"/>
      <c r="D250" s="5"/>
      <c r="E250" s="5"/>
      <c r="F250" s="4"/>
    </row>
    <row r="251" spans="1:7" ht="25.5" customHeight="1" x14ac:dyDescent="0.25">
      <c r="A251" s="1" t="s">
        <v>139</v>
      </c>
      <c r="B251" s="68"/>
      <c r="C251" s="68"/>
      <c r="E251" s="68"/>
      <c r="F251" s="68"/>
      <c r="G251" s="68"/>
    </row>
    <row r="252" spans="1:7" ht="25.5" customHeight="1" x14ac:dyDescent="0.25">
      <c r="A252" s="1" t="s">
        <v>2</v>
      </c>
      <c r="B252" s="32" t="s">
        <v>117</v>
      </c>
      <c r="C252" s="49" t="s">
        <v>208</v>
      </c>
      <c r="D252" s="49"/>
      <c r="E252" s="32"/>
      <c r="F252" s="32"/>
      <c r="G252" s="32"/>
    </row>
    <row r="253" spans="1:7" ht="25.5" customHeight="1" x14ac:dyDescent="0.25">
      <c r="A253" s="4" t="s">
        <v>183</v>
      </c>
      <c r="B253" s="5">
        <f>420.95*21</f>
        <v>8839.9499999999989</v>
      </c>
      <c r="C253" s="40">
        <f>21/18.75</f>
        <v>1.1200000000000001</v>
      </c>
      <c r="D253" s="40"/>
      <c r="E253" s="5"/>
      <c r="F253" s="32"/>
      <c r="G253" s="32"/>
    </row>
    <row r="254" spans="1:7" ht="25.5" customHeight="1" x14ac:dyDescent="0.25">
      <c r="A254" s="4" t="s">
        <v>130</v>
      </c>
      <c r="B254" s="5">
        <f>390.48*0</f>
        <v>0</v>
      </c>
      <c r="C254" s="40">
        <f>0/18.75</f>
        <v>0</v>
      </c>
      <c r="D254" s="40"/>
      <c r="E254" s="5"/>
      <c r="F254" s="32"/>
      <c r="G254" s="32"/>
    </row>
    <row r="255" spans="1:7" ht="25.5" customHeight="1" x14ac:dyDescent="0.25">
      <c r="A255" s="39" t="s">
        <v>189</v>
      </c>
      <c r="B255" s="5">
        <f>327.78*18</f>
        <v>5900.0399999999991</v>
      </c>
      <c r="C255" s="40">
        <f>18/18.75</f>
        <v>0.96</v>
      </c>
      <c r="D255" s="40"/>
      <c r="E255" s="5"/>
      <c r="F255" s="32"/>
      <c r="G255" s="32"/>
    </row>
    <row r="256" spans="1:7" ht="25.5" customHeight="1" x14ac:dyDescent="0.25">
      <c r="A256" s="39" t="s">
        <v>196</v>
      </c>
      <c r="B256" s="5">
        <f>328.89*45</f>
        <v>14800.05</v>
      </c>
      <c r="C256" s="40">
        <f>45/18.75</f>
        <v>2.4</v>
      </c>
      <c r="D256" s="40"/>
      <c r="E256" s="5"/>
      <c r="F256" s="32"/>
      <c r="G256" s="32"/>
    </row>
    <row r="257" spans="1:10" ht="25.5" customHeight="1" x14ac:dyDescent="0.25">
      <c r="A257" s="39" t="s">
        <v>129</v>
      </c>
      <c r="B257" s="5">
        <f>337.78*45</f>
        <v>15200.099999999999</v>
      </c>
      <c r="C257" s="40">
        <f>45/18.75</f>
        <v>2.4</v>
      </c>
      <c r="D257" s="40"/>
      <c r="E257" s="5"/>
      <c r="F257" s="32"/>
      <c r="G257" s="32"/>
    </row>
    <row r="258" spans="1:10" ht="25.5" customHeight="1" x14ac:dyDescent="0.25">
      <c r="A258" s="4" t="s">
        <v>197</v>
      </c>
      <c r="B258" s="5">
        <f>255.56*33.75</f>
        <v>8625.15</v>
      </c>
      <c r="C258" s="40">
        <f>33.75/18.75</f>
        <v>1.8</v>
      </c>
      <c r="D258" s="40"/>
      <c r="E258" s="5"/>
      <c r="F258" s="32"/>
      <c r="G258" s="32"/>
    </row>
    <row r="259" spans="1:10" ht="25.5" customHeight="1" x14ac:dyDescent="0.25">
      <c r="A259" s="25" t="s">
        <v>198</v>
      </c>
      <c r="B259" s="5">
        <f>255.56*22.5</f>
        <v>5750.1</v>
      </c>
      <c r="C259" s="40">
        <f>22.5/18.75</f>
        <v>1.2</v>
      </c>
      <c r="D259" s="40"/>
      <c r="E259" s="5"/>
      <c r="F259" s="32"/>
      <c r="G259" s="32"/>
    </row>
    <row r="260" spans="1:10" ht="25.5" customHeight="1" x14ac:dyDescent="0.25">
      <c r="A260" s="39" t="s">
        <v>199</v>
      </c>
      <c r="B260" s="5">
        <f>271.11*33.75</f>
        <v>9149.9624999999996</v>
      </c>
      <c r="C260" s="40">
        <f>33.75/18.75</f>
        <v>1.8</v>
      </c>
      <c r="D260" s="40"/>
      <c r="E260" s="5"/>
      <c r="F260" s="32"/>
      <c r="G260" s="32"/>
    </row>
    <row r="261" spans="1:10" ht="25.5" customHeight="1" x14ac:dyDescent="0.25">
      <c r="A261" s="4" t="s">
        <v>131</v>
      </c>
      <c r="B261" s="5">
        <f>378.79*0</f>
        <v>0</v>
      </c>
      <c r="C261" s="40">
        <f>0/18.75</f>
        <v>0</v>
      </c>
      <c r="D261" s="40"/>
      <c r="E261" s="5"/>
      <c r="F261" s="32"/>
      <c r="G261" s="32"/>
    </row>
    <row r="262" spans="1:10" ht="25.5" customHeight="1" x14ac:dyDescent="0.25">
      <c r="A262" s="18" t="s">
        <v>187</v>
      </c>
      <c r="B262" s="5">
        <f>10*7.5</f>
        <v>75</v>
      </c>
      <c r="C262" s="40">
        <f>7.5/18.75</f>
        <v>0.4</v>
      </c>
      <c r="D262" s="40"/>
      <c r="E262" s="5"/>
      <c r="F262" s="32"/>
      <c r="G262" s="32"/>
    </row>
    <row r="263" spans="1:10" ht="25.5" customHeight="1" x14ac:dyDescent="0.25">
      <c r="A263" s="1" t="s">
        <v>119</v>
      </c>
      <c r="B263" s="7">
        <f>SUM(B253:B262)</f>
        <v>68340.352499999994</v>
      </c>
      <c r="C263" s="50">
        <f>SUM(C253:C262)</f>
        <v>12.080000000000002</v>
      </c>
      <c r="D263" s="50"/>
      <c r="E263" s="32"/>
      <c r="F263" s="32"/>
      <c r="G263" s="32"/>
    </row>
    <row r="264" spans="1:10" ht="25.5" customHeight="1" x14ac:dyDescent="0.25">
      <c r="A264" s="6" t="s">
        <v>98</v>
      </c>
      <c r="B264" s="32"/>
      <c r="C264" s="32"/>
      <c r="E264" s="32"/>
      <c r="F264" s="32"/>
      <c r="G264" s="32"/>
    </row>
    <row r="265" spans="1:10" ht="25.5" customHeight="1" x14ac:dyDescent="0.25">
      <c r="A265" s="4" t="s">
        <v>145</v>
      </c>
      <c r="B265" s="5">
        <v>2500</v>
      </c>
      <c r="C265" s="32"/>
      <c r="E265" s="32"/>
      <c r="F265" s="32"/>
      <c r="G265" s="32"/>
    </row>
    <row r="266" spans="1:10" ht="25.5" customHeight="1" x14ac:dyDescent="0.25">
      <c r="A266" s="1"/>
      <c r="B266" s="42">
        <f>SUM(B265:B265)</f>
        <v>2500</v>
      </c>
      <c r="C266" s="32"/>
      <c r="E266" s="32"/>
      <c r="F266" s="32"/>
      <c r="G266" s="32"/>
    </row>
    <row r="267" spans="1:10" ht="25.5" customHeight="1" x14ac:dyDescent="0.25">
      <c r="A267" s="1" t="s">
        <v>120</v>
      </c>
      <c r="B267" s="32" t="s">
        <v>124</v>
      </c>
      <c r="C267" s="32" t="s">
        <v>121</v>
      </c>
      <c r="D267" t="s">
        <v>122</v>
      </c>
      <c r="E267" s="32" t="s">
        <v>123</v>
      </c>
      <c r="F267" s="32"/>
      <c r="G267" s="32"/>
    </row>
    <row r="268" spans="1:10" ht="35.25" customHeight="1" x14ac:dyDescent="0.25">
      <c r="A268" s="25" t="s">
        <v>142</v>
      </c>
      <c r="B268" s="25">
        <v>3</v>
      </c>
      <c r="C268" s="26">
        <v>660</v>
      </c>
      <c r="D268" s="26">
        <v>540</v>
      </c>
      <c r="E268" s="26">
        <v>120</v>
      </c>
      <c r="F268" s="32"/>
      <c r="G268" s="32"/>
      <c r="I268" s="69"/>
      <c r="J268" s="68"/>
    </row>
    <row r="269" spans="1:10" ht="25.5" customHeight="1" x14ac:dyDescent="0.25">
      <c r="A269" s="1"/>
      <c r="B269" s="42">
        <f>SUM(B268:B268)</f>
        <v>3</v>
      </c>
      <c r="C269" s="42">
        <f>SUM(C268:C268)</f>
        <v>660</v>
      </c>
      <c r="D269" s="42">
        <f>SUM(D268:D268)</f>
        <v>540</v>
      </c>
      <c r="E269" s="42">
        <f>SUM(E268:E268)</f>
        <v>120</v>
      </c>
      <c r="F269" s="32"/>
      <c r="G269" s="32"/>
    </row>
    <row r="270" spans="1:10" ht="25.5" customHeight="1" x14ac:dyDescent="0.25">
      <c r="A270" s="1" t="s">
        <v>13</v>
      </c>
      <c r="B270" s="32"/>
      <c r="C270" s="32"/>
      <c r="E270" s="32"/>
      <c r="F270" s="32"/>
      <c r="G270" s="32"/>
    </row>
    <row r="271" spans="1:10" ht="25.5" customHeight="1" x14ac:dyDescent="0.25">
      <c r="A271" s="21" t="s">
        <v>94</v>
      </c>
      <c r="B271" s="22">
        <f>3200/7</f>
        <v>457.14285714285717</v>
      </c>
      <c r="C271" s="32"/>
      <c r="E271" s="32"/>
      <c r="F271" s="32"/>
      <c r="G271" s="32"/>
    </row>
    <row r="272" spans="1:10" ht="25.5" customHeight="1" x14ac:dyDescent="0.25">
      <c r="A272" s="4" t="s">
        <v>96</v>
      </c>
      <c r="B272" s="5">
        <f>500/7</f>
        <v>71.428571428571431</v>
      </c>
      <c r="C272" s="32"/>
      <c r="E272" s="32"/>
      <c r="F272" s="32"/>
      <c r="G272" s="32"/>
    </row>
    <row r="273" spans="1:7" ht="25.5" customHeight="1" x14ac:dyDescent="0.25">
      <c r="A273" s="4" t="s">
        <v>97</v>
      </c>
      <c r="B273" s="5">
        <f>2800/7</f>
        <v>400</v>
      </c>
      <c r="C273" s="32"/>
      <c r="E273" s="32"/>
      <c r="F273" s="32"/>
      <c r="G273" s="32"/>
    </row>
    <row r="274" spans="1:7" ht="25.5" customHeight="1" x14ac:dyDescent="0.25">
      <c r="A274" s="4" t="s">
        <v>95</v>
      </c>
      <c r="B274" s="5">
        <f>1000/7</f>
        <v>142.85714285714286</v>
      </c>
      <c r="C274" s="32"/>
      <c r="E274" s="32"/>
      <c r="F274" s="32"/>
      <c r="G274" s="32"/>
    </row>
    <row r="275" spans="1:7" ht="25.5" customHeight="1" x14ac:dyDescent="0.25">
      <c r="A275" s="1"/>
      <c r="B275" s="42">
        <f>SUM(B271:B274)</f>
        <v>1071.4285714285713</v>
      </c>
      <c r="C275" s="32"/>
      <c r="E275" s="32"/>
      <c r="F275" s="32"/>
      <c r="G275" s="32"/>
    </row>
    <row r="276" spans="1:7" ht="25.5" customHeight="1" x14ac:dyDescent="0.25">
      <c r="A276" s="6" t="s">
        <v>14</v>
      </c>
      <c r="B276" s="32"/>
      <c r="C276" s="32"/>
      <c r="E276" s="32"/>
      <c r="F276" s="32"/>
      <c r="G276" s="32"/>
    </row>
    <row r="277" spans="1:7" ht="25.5" customHeight="1" x14ac:dyDescent="0.25">
      <c r="A277" s="25" t="s">
        <v>143</v>
      </c>
      <c r="B277" s="26">
        <v>150</v>
      </c>
      <c r="C277" s="32"/>
      <c r="E277" s="32"/>
      <c r="F277" s="32"/>
      <c r="G277" s="32"/>
    </row>
    <row r="278" spans="1:7" ht="28.5" customHeight="1" x14ac:dyDescent="0.25">
      <c r="A278" s="27" t="s">
        <v>144</v>
      </c>
      <c r="B278" s="26">
        <v>50</v>
      </c>
      <c r="C278" s="32"/>
      <c r="E278" s="32"/>
      <c r="F278" s="32"/>
      <c r="G278" s="32"/>
    </row>
    <row r="279" spans="1:7" ht="23.25" customHeight="1" x14ac:dyDescent="0.25">
      <c r="A279" s="4" t="s">
        <v>42</v>
      </c>
      <c r="B279" s="5">
        <f>5000/7</f>
        <v>714.28571428571433</v>
      </c>
      <c r="C279" s="32"/>
      <c r="E279" s="32"/>
      <c r="F279" s="32"/>
    </row>
    <row r="280" spans="1:7" ht="23.25" customHeight="1" x14ac:dyDescent="0.25">
      <c r="A280" s="4" t="s">
        <v>62</v>
      </c>
      <c r="B280" s="5">
        <f>2800/7</f>
        <v>400</v>
      </c>
      <c r="C280" s="4"/>
      <c r="D280" s="4"/>
      <c r="F280" s="33"/>
    </row>
    <row r="281" spans="1:7" ht="23.25" customHeight="1" x14ac:dyDescent="0.25">
      <c r="A281" s="4" t="s">
        <v>44</v>
      </c>
      <c r="B281" s="5">
        <f>1000/7</f>
        <v>142.85714285714286</v>
      </c>
      <c r="C281" s="3"/>
      <c r="D281" s="3"/>
      <c r="E281" s="3"/>
      <c r="F281" s="3"/>
    </row>
    <row r="282" spans="1:7" ht="23.25" customHeight="1" x14ac:dyDescent="0.25">
      <c r="A282" s="4" t="s">
        <v>46</v>
      </c>
      <c r="B282" s="5">
        <f>2200/7</f>
        <v>314.28571428571428</v>
      </c>
      <c r="C282" s="5"/>
      <c r="D282" s="5"/>
      <c r="E282" s="5"/>
      <c r="F282" s="4"/>
    </row>
    <row r="283" spans="1:7" ht="23.25" customHeight="1" x14ac:dyDescent="0.25">
      <c r="A283" s="4" t="s">
        <v>51</v>
      </c>
      <c r="B283" s="5">
        <f>65000/7</f>
        <v>9285.7142857142862</v>
      </c>
      <c r="C283" s="5"/>
      <c r="D283" s="5"/>
      <c r="E283" s="5"/>
      <c r="F283" s="4"/>
    </row>
    <row r="284" spans="1:7" ht="23.25" customHeight="1" x14ac:dyDescent="0.25">
      <c r="A284" s="4" t="s">
        <v>52</v>
      </c>
      <c r="B284" s="5">
        <f>400/7</f>
        <v>57.142857142857146</v>
      </c>
      <c r="C284" s="5"/>
      <c r="D284" s="5"/>
      <c r="E284" s="5"/>
      <c r="F284" s="4"/>
    </row>
    <row r="285" spans="1:7" ht="23.25" customHeight="1" x14ac:dyDescent="0.25">
      <c r="A285" s="4" t="s">
        <v>53</v>
      </c>
      <c r="B285" s="5">
        <f>6000/7</f>
        <v>857.14285714285711</v>
      </c>
      <c r="C285" s="5"/>
      <c r="D285" s="5"/>
      <c r="E285" s="5"/>
      <c r="F285" s="4"/>
    </row>
    <row r="286" spans="1:7" ht="23.25" customHeight="1" x14ac:dyDescent="0.25">
      <c r="A286" s="4" t="s">
        <v>54</v>
      </c>
      <c r="B286" s="5">
        <f>1400/7</f>
        <v>200</v>
      </c>
      <c r="C286" s="5"/>
      <c r="D286" s="5"/>
      <c r="E286" s="5"/>
      <c r="F286" s="4"/>
    </row>
    <row r="287" spans="1:7" ht="23.25" customHeight="1" x14ac:dyDescent="0.25">
      <c r="A287" s="4" t="s">
        <v>55</v>
      </c>
      <c r="B287" s="5">
        <f>5000/7</f>
        <v>714.28571428571433</v>
      </c>
      <c r="C287" s="5"/>
      <c r="D287" s="5"/>
      <c r="E287" s="5"/>
      <c r="F287" s="4"/>
    </row>
    <row r="288" spans="1:7" ht="23.25" customHeight="1" x14ac:dyDescent="0.25">
      <c r="A288" s="4" t="s">
        <v>56</v>
      </c>
      <c r="B288" s="5">
        <f>6300/7</f>
        <v>900</v>
      </c>
      <c r="C288" s="26"/>
      <c r="D288" s="26"/>
      <c r="E288" s="26"/>
      <c r="F288" s="4"/>
    </row>
    <row r="289" spans="1:7" ht="23.25" customHeight="1" x14ac:dyDescent="0.25">
      <c r="A289" s="4" t="s">
        <v>57</v>
      </c>
      <c r="B289" s="5">
        <f>250/7</f>
        <v>35.714285714285715</v>
      </c>
      <c r="C289" s="5"/>
      <c r="D289" s="5"/>
      <c r="E289" s="5"/>
      <c r="F289" s="4"/>
    </row>
    <row r="290" spans="1:7" ht="25.5" customHeight="1" x14ac:dyDescent="0.25">
      <c r="A290" s="21" t="s">
        <v>58</v>
      </c>
      <c r="B290" s="22">
        <f>4000/7</f>
        <v>571.42857142857144</v>
      </c>
      <c r="C290" s="5"/>
      <c r="D290" s="5"/>
      <c r="E290" s="5"/>
      <c r="F290" s="4"/>
    </row>
    <row r="291" spans="1:7" ht="25.5" customHeight="1" x14ac:dyDescent="0.25">
      <c r="A291" s="4" t="s">
        <v>59</v>
      </c>
      <c r="B291" s="5">
        <f>2500/7</f>
        <v>357.14285714285717</v>
      </c>
      <c r="C291" s="5"/>
      <c r="D291" s="5"/>
      <c r="E291" s="5"/>
      <c r="F291" s="4"/>
    </row>
    <row r="292" spans="1:7" ht="25.5" customHeight="1" x14ac:dyDescent="0.25">
      <c r="A292" s="4" t="s">
        <v>60</v>
      </c>
      <c r="B292" s="5">
        <f>480/7</f>
        <v>68.571428571428569</v>
      </c>
      <c r="C292" s="5"/>
      <c r="D292" s="5"/>
      <c r="E292" s="5"/>
      <c r="F292" s="4"/>
    </row>
    <row r="293" spans="1:7" ht="25.5" customHeight="1" x14ac:dyDescent="0.25">
      <c r="A293" s="4"/>
      <c r="B293" s="7">
        <f>SUM(B277:B292)</f>
        <v>14818.571428571428</v>
      </c>
      <c r="C293" s="5"/>
      <c r="D293" s="5"/>
      <c r="E293" s="5"/>
      <c r="F293" s="4"/>
    </row>
    <row r="294" spans="1:7" ht="25.5" customHeight="1" x14ac:dyDescent="0.25">
      <c r="A294" s="1" t="s">
        <v>140</v>
      </c>
      <c r="B294" s="42">
        <f>B263+B266+C269+D269+E269+B275+B293</f>
        <v>88050.352499999979</v>
      </c>
      <c r="C294" s="5"/>
      <c r="D294" s="5"/>
      <c r="E294" s="5"/>
      <c r="F294" s="4"/>
    </row>
    <row r="295" spans="1:7" ht="25.5" customHeight="1" x14ac:dyDescent="0.25">
      <c r="A295" s="4"/>
      <c r="B295" s="4"/>
      <c r="C295" s="5"/>
      <c r="D295" s="5"/>
      <c r="E295" s="5"/>
      <c r="F295" s="4"/>
    </row>
    <row r="296" spans="1:7" ht="25.5" customHeight="1" x14ac:dyDescent="0.25">
      <c r="A296" s="1" t="s">
        <v>147</v>
      </c>
      <c r="B296" s="68"/>
      <c r="C296" s="68"/>
      <c r="E296" s="68"/>
      <c r="F296" s="68"/>
      <c r="G296" s="68"/>
    </row>
    <row r="297" spans="1:7" ht="25.5" customHeight="1" x14ac:dyDescent="0.25">
      <c r="A297" s="1" t="s">
        <v>2</v>
      </c>
      <c r="B297" s="32" t="s">
        <v>117</v>
      </c>
      <c r="C297" s="49" t="s">
        <v>208</v>
      </c>
      <c r="D297" s="49"/>
      <c r="E297" s="32"/>
      <c r="F297" s="32"/>
      <c r="G297" s="32"/>
    </row>
    <row r="298" spans="1:7" ht="25.5" customHeight="1" x14ac:dyDescent="0.25">
      <c r="A298" s="4" t="s">
        <v>170</v>
      </c>
      <c r="B298" s="5">
        <f>420.95*15.75</f>
        <v>6629.9624999999996</v>
      </c>
      <c r="C298" s="40">
        <f>15.75/18.75</f>
        <v>0.84</v>
      </c>
      <c r="D298" s="40"/>
      <c r="E298" s="5"/>
      <c r="F298" s="32"/>
      <c r="G298" s="32"/>
    </row>
    <row r="299" spans="1:7" ht="25.5" customHeight="1" x14ac:dyDescent="0.25">
      <c r="A299" s="4" t="s">
        <v>130</v>
      </c>
      <c r="B299" s="5">
        <f>390.48*0</f>
        <v>0</v>
      </c>
      <c r="C299" s="40">
        <f>0/18.75</f>
        <v>0</v>
      </c>
      <c r="D299" s="40"/>
      <c r="E299" s="5"/>
      <c r="F299" s="32"/>
      <c r="G299" s="32"/>
    </row>
    <row r="300" spans="1:7" ht="25.5" customHeight="1" x14ac:dyDescent="0.25">
      <c r="A300" s="39" t="s">
        <v>200</v>
      </c>
      <c r="B300" s="5">
        <f>327.78*126</f>
        <v>41300.28</v>
      </c>
      <c r="C300" s="40">
        <f>126/18.75</f>
        <v>6.72</v>
      </c>
      <c r="D300" s="40"/>
      <c r="E300" s="5"/>
      <c r="F300" s="32"/>
      <c r="G300" s="32"/>
    </row>
    <row r="301" spans="1:7" ht="25.5" customHeight="1" x14ac:dyDescent="0.25">
      <c r="A301" s="39" t="s">
        <v>179</v>
      </c>
      <c r="B301" s="5">
        <f>328.89*0</f>
        <v>0</v>
      </c>
      <c r="C301" s="40">
        <f>0/18.75</f>
        <v>0</v>
      </c>
      <c r="D301" s="40"/>
      <c r="E301" s="5"/>
      <c r="F301" s="32"/>
      <c r="G301" s="32"/>
    </row>
    <row r="302" spans="1:7" ht="25.5" customHeight="1" x14ac:dyDescent="0.25">
      <c r="A302" s="39" t="s">
        <v>191</v>
      </c>
      <c r="B302" s="5">
        <f>337.78*5.63</f>
        <v>1901.7013999999999</v>
      </c>
      <c r="C302" s="40">
        <f>5.63/18.75</f>
        <v>0.30026666666666668</v>
      </c>
      <c r="D302" s="40"/>
      <c r="E302" s="5"/>
      <c r="F302" s="32"/>
      <c r="G302" s="32"/>
    </row>
    <row r="303" spans="1:7" ht="25.5" customHeight="1" x14ac:dyDescent="0.25">
      <c r="A303" s="4" t="s">
        <v>192</v>
      </c>
      <c r="B303" s="5">
        <f>255.56*0</f>
        <v>0</v>
      </c>
      <c r="C303" s="40">
        <f>0/18.75</f>
        <v>0</v>
      </c>
      <c r="D303" s="40"/>
      <c r="E303" s="5"/>
      <c r="F303" s="32"/>
      <c r="G303" s="32"/>
    </row>
    <row r="304" spans="1:7" ht="25.5" customHeight="1" x14ac:dyDescent="0.25">
      <c r="A304" s="25" t="s">
        <v>193</v>
      </c>
      <c r="B304" s="5">
        <f>255.56*0</f>
        <v>0</v>
      </c>
      <c r="C304" s="40">
        <f>0/18.75</f>
        <v>0</v>
      </c>
      <c r="D304" s="40"/>
      <c r="E304" s="5"/>
      <c r="F304" s="32"/>
      <c r="G304" s="32"/>
    </row>
    <row r="305" spans="1:7" ht="25.5" customHeight="1" x14ac:dyDescent="0.25">
      <c r="A305" s="39" t="s">
        <v>201</v>
      </c>
      <c r="B305" s="5">
        <f>271.11*67.5</f>
        <v>18299.924999999999</v>
      </c>
      <c r="C305" s="40">
        <f>67.5/18.75</f>
        <v>3.6</v>
      </c>
      <c r="D305" s="40"/>
      <c r="E305" s="5"/>
      <c r="F305" s="32"/>
      <c r="G305" s="32"/>
    </row>
    <row r="306" spans="1:7" ht="25.5" customHeight="1" x14ac:dyDescent="0.25">
      <c r="A306" s="4" t="s">
        <v>131</v>
      </c>
      <c r="B306" s="5">
        <f>378.79*0</f>
        <v>0</v>
      </c>
      <c r="C306" s="40">
        <f>0/18.75</f>
        <v>0</v>
      </c>
      <c r="D306" s="40"/>
      <c r="E306" s="5"/>
      <c r="F306" s="32"/>
      <c r="G306" s="32"/>
    </row>
    <row r="307" spans="1:7" ht="22.5" customHeight="1" x14ac:dyDescent="0.25">
      <c r="A307" s="18" t="s">
        <v>202</v>
      </c>
      <c r="B307" s="5">
        <f>10*45</f>
        <v>450</v>
      </c>
      <c r="C307" s="40">
        <f>45/18.75</f>
        <v>2.4</v>
      </c>
      <c r="D307" s="40"/>
      <c r="E307" s="5"/>
      <c r="F307" s="32"/>
      <c r="G307" s="32"/>
    </row>
    <row r="308" spans="1:7" ht="22.5" customHeight="1" x14ac:dyDescent="0.25">
      <c r="A308" s="1" t="s">
        <v>119</v>
      </c>
      <c r="B308" s="7">
        <f>SUM(B298:B307)</f>
        <v>68581.868900000001</v>
      </c>
      <c r="C308" s="50">
        <f>SUM(C298:C307)</f>
        <v>13.860266666666666</v>
      </c>
      <c r="D308" s="50"/>
      <c r="E308" s="32"/>
      <c r="F308" s="32"/>
      <c r="G308" s="32"/>
    </row>
    <row r="309" spans="1:7" ht="22.5" customHeight="1" x14ac:dyDescent="0.25">
      <c r="A309" s="6" t="s">
        <v>98</v>
      </c>
      <c r="B309" s="32"/>
      <c r="C309" s="32"/>
      <c r="E309" s="32"/>
      <c r="F309" s="32"/>
      <c r="G309" s="32"/>
    </row>
    <row r="310" spans="1:7" ht="22.5" customHeight="1" x14ac:dyDescent="0.25">
      <c r="A310" s="4" t="s">
        <v>149</v>
      </c>
      <c r="B310" s="5">
        <v>2500</v>
      </c>
      <c r="C310" s="32"/>
      <c r="E310" s="32"/>
      <c r="F310" s="32"/>
      <c r="G310" s="32"/>
    </row>
    <row r="311" spans="1:7" ht="22.5" customHeight="1" x14ac:dyDescent="0.25">
      <c r="A311" s="1"/>
      <c r="B311" s="42">
        <f>SUM(B310:B310)</f>
        <v>2500</v>
      </c>
      <c r="C311" s="32"/>
      <c r="E311" s="32"/>
      <c r="F311" s="32"/>
      <c r="G311" s="32"/>
    </row>
    <row r="312" spans="1:7" ht="22.5" customHeight="1" x14ac:dyDescent="0.25">
      <c r="A312" s="1" t="s">
        <v>120</v>
      </c>
      <c r="B312" s="32" t="s">
        <v>124</v>
      </c>
      <c r="C312" s="32" t="s">
        <v>121</v>
      </c>
      <c r="D312" t="s">
        <v>122</v>
      </c>
      <c r="E312" s="32" t="s">
        <v>123</v>
      </c>
      <c r="F312" s="32"/>
      <c r="G312" s="32"/>
    </row>
    <row r="313" spans="1:7" ht="22.5" customHeight="1" x14ac:dyDescent="0.25">
      <c r="A313" s="25" t="s">
        <v>150</v>
      </c>
      <c r="B313" s="25">
        <v>3</v>
      </c>
      <c r="C313" s="26">
        <v>660</v>
      </c>
      <c r="D313" s="26">
        <v>540</v>
      </c>
      <c r="E313" s="26">
        <v>120</v>
      </c>
      <c r="F313" s="32"/>
      <c r="G313" s="32"/>
    </row>
    <row r="314" spans="1:7" ht="22.5" customHeight="1" x14ac:dyDescent="0.25">
      <c r="A314" s="1"/>
      <c r="B314" s="42">
        <f>SUM(B313:B313)</f>
        <v>3</v>
      </c>
      <c r="C314" s="42">
        <f>SUM(C313:C313)</f>
        <v>660</v>
      </c>
      <c r="D314" s="42">
        <f>SUM(D313:D313)</f>
        <v>540</v>
      </c>
      <c r="E314" s="42">
        <f>SUM(E313:E313)</f>
        <v>120</v>
      </c>
      <c r="F314" s="32"/>
      <c r="G314" s="32"/>
    </row>
    <row r="315" spans="1:7" ht="22.5" customHeight="1" x14ac:dyDescent="0.25">
      <c r="A315" s="1" t="s">
        <v>13</v>
      </c>
      <c r="B315" s="32"/>
      <c r="C315" s="32"/>
      <c r="E315" s="32"/>
      <c r="F315" s="32"/>
      <c r="G315" s="32"/>
    </row>
    <row r="316" spans="1:7" ht="22.5" customHeight="1" x14ac:dyDescent="0.25">
      <c r="A316" s="21" t="s">
        <v>94</v>
      </c>
      <c r="B316" s="22">
        <f>3200/7</f>
        <v>457.14285714285717</v>
      </c>
      <c r="C316" s="32"/>
      <c r="E316" s="32"/>
      <c r="F316" s="32"/>
      <c r="G316" s="32"/>
    </row>
    <row r="317" spans="1:7" ht="22.5" customHeight="1" x14ac:dyDescent="0.25">
      <c r="A317" s="4" t="s">
        <v>96</v>
      </c>
      <c r="B317" s="5">
        <f>500/7</f>
        <v>71.428571428571431</v>
      </c>
      <c r="C317" s="32"/>
      <c r="E317" s="32"/>
      <c r="F317" s="32"/>
      <c r="G317" s="32"/>
    </row>
    <row r="318" spans="1:7" ht="22.5" customHeight="1" x14ac:dyDescent="0.25">
      <c r="A318" s="4" t="s">
        <v>97</v>
      </c>
      <c r="B318" s="5">
        <f>2800/7</f>
        <v>400</v>
      </c>
      <c r="C318" s="32"/>
      <c r="E318" s="32"/>
      <c r="F318" s="32"/>
      <c r="G318" s="32"/>
    </row>
    <row r="319" spans="1:7" ht="22.5" customHeight="1" x14ac:dyDescent="0.25">
      <c r="A319" s="4" t="s">
        <v>95</v>
      </c>
      <c r="B319" s="5">
        <f>1000/7</f>
        <v>142.85714285714286</v>
      </c>
      <c r="C319" s="32"/>
      <c r="E319" s="32"/>
      <c r="F319" s="32"/>
      <c r="G319" s="32"/>
    </row>
    <row r="320" spans="1:7" ht="22.5" customHeight="1" x14ac:dyDescent="0.25">
      <c r="A320" s="1"/>
      <c r="B320" s="42">
        <f>SUM(B316:B319)</f>
        <v>1071.4285714285713</v>
      </c>
      <c r="C320" s="32"/>
      <c r="E320" s="32"/>
      <c r="F320" s="32"/>
      <c r="G320" s="32"/>
    </row>
    <row r="321" spans="1:7" ht="22.5" customHeight="1" x14ac:dyDescent="0.25">
      <c r="A321" s="6" t="s">
        <v>14</v>
      </c>
      <c r="B321" s="32"/>
      <c r="C321" s="32"/>
      <c r="E321" s="32"/>
      <c r="F321" s="32"/>
      <c r="G321" s="32"/>
    </row>
    <row r="322" spans="1:7" ht="22.5" customHeight="1" x14ac:dyDescent="0.25">
      <c r="A322" s="25" t="s">
        <v>151</v>
      </c>
      <c r="B322" s="26">
        <v>150</v>
      </c>
      <c r="C322" s="32"/>
      <c r="E322" s="32"/>
      <c r="F322" s="32"/>
      <c r="G322" s="32"/>
    </row>
    <row r="323" spans="1:7" ht="36.75" customHeight="1" x14ac:dyDescent="0.25">
      <c r="A323" s="27" t="s">
        <v>152</v>
      </c>
      <c r="B323" s="26">
        <v>50</v>
      </c>
      <c r="C323" s="32"/>
      <c r="E323" s="32"/>
      <c r="F323" s="32"/>
      <c r="G323" s="32"/>
    </row>
    <row r="324" spans="1:7" ht="22.5" customHeight="1" x14ac:dyDescent="0.25">
      <c r="A324" s="28" t="s">
        <v>41</v>
      </c>
      <c r="B324" s="29">
        <v>750</v>
      </c>
      <c r="C324" s="32"/>
      <c r="E324" s="32"/>
      <c r="F324" s="32"/>
      <c r="G324" s="32"/>
    </row>
    <row r="325" spans="1:7" ht="22.5" customHeight="1" x14ac:dyDescent="0.25">
      <c r="A325" s="18" t="s">
        <v>43</v>
      </c>
      <c r="B325" s="19">
        <v>4000</v>
      </c>
      <c r="C325" s="32"/>
      <c r="E325" s="32"/>
      <c r="F325" s="32"/>
      <c r="G325" s="32"/>
    </row>
    <row r="326" spans="1:7" ht="22.5" customHeight="1" x14ac:dyDescent="0.25">
      <c r="A326" s="4" t="s">
        <v>42</v>
      </c>
      <c r="B326" s="5">
        <f>5000/7</f>
        <v>714.28571428571433</v>
      </c>
      <c r="C326" s="32"/>
      <c r="E326" s="32"/>
      <c r="F326" s="32"/>
    </row>
    <row r="327" spans="1:7" ht="22.5" customHeight="1" x14ac:dyDescent="0.25">
      <c r="A327" s="4" t="s">
        <v>62</v>
      </c>
      <c r="B327" s="5">
        <f>2800/7</f>
        <v>400</v>
      </c>
      <c r="C327" s="4"/>
      <c r="D327" s="4"/>
      <c r="F327" s="33"/>
    </row>
    <row r="328" spans="1:7" ht="22.5" customHeight="1" x14ac:dyDescent="0.25">
      <c r="A328" s="4" t="s">
        <v>44</v>
      </c>
      <c r="B328" s="5">
        <f>1000/7</f>
        <v>142.85714285714286</v>
      </c>
      <c r="C328" s="3"/>
      <c r="D328" s="3"/>
      <c r="E328" s="3"/>
      <c r="F328" s="3"/>
    </row>
    <row r="329" spans="1:7" ht="22.5" customHeight="1" x14ac:dyDescent="0.25">
      <c r="A329" s="4" t="s">
        <v>46</v>
      </c>
      <c r="B329" s="5">
        <f>2200/7</f>
        <v>314.28571428571428</v>
      </c>
      <c r="C329" s="5"/>
      <c r="D329" s="5"/>
      <c r="E329" s="5"/>
      <c r="F329" s="4"/>
    </row>
    <row r="330" spans="1:7" ht="22.5" customHeight="1" x14ac:dyDescent="0.25">
      <c r="A330" s="4" t="s">
        <v>51</v>
      </c>
      <c r="B330" s="5">
        <f>65000/7</f>
        <v>9285.7142857142862</v>
      </c>
      <c r="C330" s="5"/>
      <c r="D330" s="5"/>
      <c r="E330" s="5"/>
      <c r="F330" s="4"/>
    </row>
    <row r="331" spans="1:7" ht="22.5" customHeight="1" x14ac:dyDescent="0.25">
      <c r="A331" s="4" t="s">
        <v>52</v>
      </c>
      <c r="B331" s="5">
        <f>400/7</f>
        <v>57.142857142857146</v>
      </c>
      <c r="C331" s="5"/>
      <c r="D331" s="5"/>
      <c r="E331" s="5"/>
      <c r="F331" s="4"/>
    </row>
    <row r="332" spans="1:7" ht="22.5" customHeight="1" x14ac:dyDescent="0.25">
      <c r="A332" s="4" t="s">
        <v>53</v>
      </c>
      <c r="B332" s="5">
        <f>6000/7</f>
        <v>857.14285714285711</v>
      </c>
      <c r="C332" s="5"/>
      <c r="D332" s="5"/>
      <c r="E332" s="5"/>
      <c r="F332" s="4"/>
    </row>
    <row r="333" spans="1:7" ht="22.5" customHeight="1" x14ac:dyDescent="0.25">
      <c r="A333" s="4" t="s">
        <v>54</v>
      </c>
      <c r="B333" s="5">
        <f>1400/7</f>
        <v>200</v>
      </c>
      <c r="C333" s="5"/>
      <c r="D333" s="5"/>
      <c r="E333" s="5"/>
      <c r="F333" s="4"/>
    </row>
    <row r="334" spans="1:7" ht="22.5" customHeight="1" x14ac:dyDescent="0.25">
      <c r="A334" s="4" t="s">
        <v>55</v>
      </c>
      <c r="B334" s="5">
        <f>5000/7</f>
        <v>714.28571428571433</v>
      </c>
      <c r="C334" s="5"/>
      <c r="D334" s="5"/>
      <c r="E334" s="5"/>
      <c r="F334" s="4"/>
    </row>
    <row r="335" spans="1:7" ht="22.5" customHeight="1" x14ac:dyDescent="0.25">
      <c r="A335" s="4" t="s">
        <v>56</v>
      </c>
      <c r="B335" s="5">
        <f>6300/7</f>
        <v>900</v>
      </c>
      <c r="C335" s="26"/>
      <c r="D335" s="26"/>
      <c r="E335" s="26"/>
      <c r="F335" s="4"/>
    </row>
    <row r="336" spans="1:7" ht="22.5" customHeight="1" x14ac:dyDescent="0.25">
      <c r="A336" s="4" t="s">
        <v>57</v>
      </c>
      <c r="B336" s="5">
        <f>250/7</f>
        <v>35.714285714285715</v>
      </c>
      <c r="C336" s="5"/>
      <c r="D336" s="5"/>
      <c r="E336" s="5"/>
      <c r="F336" s="4"/>
    </row>
    <row r="337" spans="1:6" ht="22.5" customHeight="1" x14ac:dyDescent="0.25">
      <c r="A337" s="21" t="s">
        <v>58</v>
      </c>
      <c r="B337" s="22">
        <f>4000/7</f>
        <v>571.42857142857144</v>
      </c>
      <c r="C337" s="5"/>
      <c r="D337" s="5"/>
      <c r="E337" s="5"/>
      <c r="F337" s="4"/>
    </row>
    <row r="338" spans="1:6" ht="22.5" customHeight="1" x14ac:dyDescent="0.25">
      <c r="A338" s="4" t="s">
        <v>59</v>
      </c>
      <c r="B338" s="5">
        <f>2500/7</f>
        <v>357.14285714285717</v>
      </c>
      <c r="C338" s="5"/>
      <c r="D338" s="5"/>
      <c r="E338" s="5"/>
      <c r="F338" s="4"/>
    </row>
    <row r="339" spans="1:6" ht="22.5" customHeight="1" x14ac:dyDescent="0.25">
      <c r="A339" s="4" t="s">
        <v>60</v>
      </c>
      <c r="B339" s="5">
        <f>480/7</f>
        <v>68.571428571428569</v>
      </c>
      <c r="C339" s="5"/>
      <c r="D339" s="5"/>
      <c r="E339" s="5"/>
      <c r="F339" s="4"/>
    </row>
    <row r="340" spans="1:6" ht="22.5" customHeight="1" x14ac:dyDescent="0.25">
      <c r="A340" s="4"/>
      <c r="B340" s="7">
        <f>SUM(B322:B339)</f>
        <v>19568.571428571431</v>
      </c>
      <c r="C340" s="5"/>
      <c r="D340" s="5"/>
      <c r="E340" s="5"/>
      <c r="F340" s="4"/>
    </row>
    <row r="341" spans="1:6" ht="22.5" customHeight="1" x14ac:dyDescent="0.25">
      <c r="A341" s="1" t="s">
        <v>148</v>
      </c>
      <c r="B341" s="42">
        <f>B308+B311+C314+D314+E314+B320+B340</f>
        <v>93041.868900000001</v>
      </c>
      <c r="C341" s="5"/>
      <c r="D341" s="5"/>
      <c r="E341" s="5"/>
      <c r="F341" s="4"/>
    </row>
    <row r="342" spans="1:6" ht="22.5" customHeight="1" x14ac:dyDescent="0.25">
      <c r="A342" s="4"/>
      <c r="B342" s="4"/>
      <c r="C342" s="5"/>
      <c r="D342" s="5"/>
      <c r="E342" s="5"/>
      <c r="F342" s="4"/>
    </row>
    <row r="343" spans="1:6" ht="22.5" customHeight="1" x14ac:dyDescent="0.25">
      <c r="A343" s="43" t="s">
        <v>61</v>
      </c>
      <c r="B343" s="44">
        <f>B59+B104+B147+B196+B249+B294+B341</f>
        <v>1184715.98</v>
      </c>
      <c r="C343" s="5"/>
      <c r="D343" s="5"/>
      <c r="E343" s="5"/>
      <c r="F343" s="4"/>
    </row>
    <row r="344" spans="1:6" ht="22.5" customHeight="1" x14ac:dyDescent="0.25">
      <c r="A344" s="4"/>
      <c r="B344" s="4"/>
      <c r="C344" s="5"/>
      <c r="D344" s="5"/>
      <c r="E344" s="5"/>
      <c r="F344" s="4"/>
    </row>
    <row r="345" spans="1:6" ht="22.5" customHeight="1" x14ac:dyDescent="0.25">
      <c r="A345" s="4"/>
      <c r="B345" s="4"/>
      <c r="C345" s="5"/>
      <c r="D345" s="5"/>
      <c r="E345" s="5"/>
      <c r="F345" s="4"/>
    </row>
    <row r="346" spans="1:6" ht="22.5" customHeight="1" x14ac:dyDescent="0.25">
      <c r="A346" s="4"/>
      <c r="B346" s="4"/>
      <c r="C346" s="5"/>
      <c r="D346" s="5"/>
      <c r="E346" s="5"/>
      <c r="F346" s="4"/>
    </row>
    <row r="347" spans="1:6" ht="22.5" customHeight="1" x14ac:dyDescent="0.25">
      <c r="A347" s="4"/>
      <c r="B347" s="4"/>
      <c r="C347" s="5"/>
      <c r="D347" s="5"/>
      <c r="E347" s="5"/>
      <c r="F347" s="4"/>
    </row>
    <row r="348" spans="1:6" ht="24" customHeight="1" x14ac:dyDescent="0.25">
      <c r="A348" s="4" t="s">
        <v>155</v>
      </c>
      <c r="B348" s="4"/>
      <c r="C348" s="48" t="s">
        <v>208</v>
      </c>
      <c r="D348" s="49"/>
      <c r="E348" s="5"/>
      <c r="F348" s="4"/>
    </row>
    <row r="349" spans="1:6" ht="24" customHeight="1" x14ac:dyDescent="0.25">
      <c r="A349" s="4" t="s">
        <v>156</v>
      </c>
      <c r="B349" s="5">
        <f t="shared" ref="B349:C358" si="7">B4+B63+B108+B151+B200+B253+B298</f>
        <v>88399.499999999985</v>
      </c>
      <c r="C349" s="5">
        <f t="shared" si="7"/>
        <v>11.2</v>
      </c>
      <c r="D349" s="5"/>
      <c r="E349" s="5"/>
      <c r="F349" s="4"/>
    </row>
    <row r="350" spans="1:6" ht="24" customHeight="1" x14ac:dyDescent="0.25">
      <c r="A350" s="4" t="s">
        <v>157</v>
      </c>
      <c r="B350" s="5">
        <f t="shared" si="7"/>
        <v>82000.800000000003</v>
      </c>
      <c r="C350" s="5">
        <f t="shared" si="7"/>
        <v>11.2</v>
      </c>
      <c r="D350" s="5"/>
      <c r="E350" s="5"/>
      <c r="F350" s="4"/>
    </row>
    <row r="351" spans="1:6" ht="24" customHeight="1" x14ac:dyDescent="0.25">
      <c r="A351" s="39" t="s">
        <v>158</v>
      </c>
      <c r="B351" s="5">
        <f t="shared" si="7"/>
        <v>59000.399999999994</v>
      </c>
      <c r="C351" s="5">
        <f t="shared" si="7"/>
        <v>9.6</v>
      </c>
      <c r="D351" s="5"/>
      <c r="E351" s="5"/>
      <c r="F351" s="4"/>
    </row>
    <row r="352" spans="1:6" ht="27" customHeight="1" x14ac:dyDescent="0.25">
      <c r="A352" s="39" t="s">
        <v>159</v>
      </c>
      <c r="B352" s="5">
        <f t="shared" si="7"/>
        <v>74000.25</v>
      </c>
      <c r="C352" s="5">
        <f t="shared" si="7"/>
        <v>12</v>
      </c>
      <c r="D352" s="5"/>
    </row>
    <row r="353" spans="1:4" ht="24" customHeight="1" x14ac:dyDescent="0.25">
      <c r="A353" s="39" t="s">
        <v>160</v>
      </c>
      <c r="B353" s="5">
        <f t="shared" si="7"/>
        <v>76000.5</v>
      </c>
      <c r="C353" s="5">
        <f t="shared" si="7"/>
        <v>12.000000000000002</v>
      </c>
      <c r="D353" s="5"/>
    </row>
    <row r="354" spans="1:4" ht="24" customHeight="1" x14ac:dyDescent="0.25">
      <c r="A354" s="4" t="s">
        <v>161</v>
      </c>
      <c r="B354" s="5">
        <f t="shared" si="7"/>
        <v>57501</v>
      </c>
      <c r="C354" s="5">
        <f t="shared" si="7"/>
        <v>12.000000000000002</v>
      </c>
      <c r="D354" s="5"/>
    </row>
    <row r="355" spans="1:4" ht="24" customHeight="1" x14ac:dyDescent="0.25">
      <c r="A355" s="25" t="s">
        <v>162</v>
      </c>
      <c r="B355" s="5">
        <f t="shared" si="7"/>
        <v>57501</v>
      </c>
      <c r="C355" s="5">
        <f t="shared" si="7"/>
        <v>12</v>
      </c>
      <c r="D355" s="5"/>
    </row>
    <row r="356" spans="1:4" ht="24" customHeight="1" x14ac:dyDescent="0.25">
      <c r="A356" s="39" t="s">
        <v>163</v>
      </c>
      <c r="B356" s="5">
        <f t="shared" si="7"/>
        <v>60999.75</v>
      </c>
      <c r="C356" s="5">
        <f t="shared" si="7"/>
        <v>12</v>
      </c>
      <c r="D356" s="5"/>
    </row>
    <row r="357" spans="1:4" ht="24" customHeight="1" x14ac:dyDescent="0.25">
      <c r="A357" s="4" t="s">
        <v>164</v>
      </c>
      <c r="B357" s="5">
        <f t="shared" si="7"/>
        <v>50000.280000000006</v>
      </c>
      <c r="C357" s="5">
        <f t="shared" si="7"/>
        <v>7.04</v>
      </c>
      <c r="D357" s="5"/>
    </row>
    <row r="358" spans="1:4" ht="24" customHeight="1" x14ac:dyDescent="0.25">
      <c r="A358" s="18" t="s">
        <v>165</v>
      </c>
      <c r="B358" s="5">
        <f t="shared" si="7"/>
        <v>1500</v>
      </c>
      <c r="C358" s="5">
        <f t="shared" si="7"/>
        <v>8</v>
      </c>
      <c r="D358" s="5"/>
    </row>
    <row r="359" spans="1:4" ht="24" customHeight="1" x14ac:dyDescent="0.25">
      <c r="A359" s="16" t="s">
        <v>209</v>
      </c>
      <c r="B359" s="45">
        <f>SUM(B349:B358)</f>
        <v>606903.48</v>
      </c>
      <c r="C359" s="45">
        <f t="shared" ref="C359" si="8">SUM(C349:C358)</f>
        <v>107.04</v>
      </c>
      <c r="D359" s="45"/>
    </row>
    <row r="360" spans="1:4" ht="24" customHeight="1" x14ac:dyDescent="0.25"/>
    <row r="361" spans="1:4" ht="24" customHeight="1" x14ac:dyDescent="0.25"/>
    <row r="362" spans="1:4" ht="24" customHeight="1" x14ac:dyDescent="0.25"/>
    <row r="363" spans="1:4" ht="24" customHeight="1" x14ac:dyDescent="0.25"/>
    <row r="364" spans="1:4" ht="24" customHeight="1" x14ac:dyDescent="0.25"/>
    <row r="365" spans="1:4" ht="24" customHeight="1" x14ac:dyDescent="0.25"/>
    <row r="449" spans="1:7" x14ac:dyDescent="0.25">
      <c r="G449" s="32"/>
    </row>
    <row r="451" spans="1:7" x14ac:dyDescent="0.25">
      <c r="A451" s="1"/>
    </row>
    <row r="452" spans="1:7" x14ac:dyDescent="0.25">
      <c r="B452" s="32"/>
      <c r="C452" s="32"/>
      <c r="E452" s="32"/>
      <c r="F452" s="32"/>
    </row>
  </sheetData>
  <mergeCells count="16">
    <mergeCell ref="B2:C2"/>
    <mergeCell ref="E2:G2"/>
    <mergeCell ref="I2:J2"/>
    <mergeCell ref="I268:J268"/>
    <mergeCell ref="B61:C61"/>
    <mergeCell ref="E61:G61"/>
    <mergeCell ref="B106:C106"/>
    <mergeCell ref="E106:G106"/>
    <mergeCell ref="B296:C296"/>
    <mergeCell ref="E296:G296"/>
    <mergeCell ref="B149:C149"/>
    <mergeCell ref="E149:G149"/>
    <mergeCell ref="B198:C198"/>
    <mergeCell ref="E198:G198"/>
    <mergeCell ref="B251:C251"/>
    <mergeCell ref="E251:G2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Overview</vt:lpstr>
      <vt:lpstr>Detail expenses</vt:lpstr>
      <vt:lpstr>Total SGA</vt:lpstr>
      <vt:lpstr>Budget detail SGA</vt:lpstr>
      <vt:lpstr>'Detail expenses'!Print_Area</vt:lpstr>
      <vt:lpstr>Overview!Print_Area</vt:lpstr>
      <vt:lpstr>'Total SGA'!Print_Area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cp:lastPrinted>2022-09-20T07:39:50Z</cp:lastPrinted>
  <dcterms:created xsi:type="dcterms:W3CDTF">2021-08-23T09:59:43Z</dcterms:created>
  <dcterms:modified xsi:type="dcterms:W3CDTF">2022-10-06T08:35:47Z</dcterms:modified>
</cp:coreProperties>
</file>